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4" windowHeight="8040" tabRatio="877" activeTab="6"/>
  </bookViews>
  <sheets>
    <sheet name="62" sheetId="1" r:id="rId1"/>
    <sheet name="91" sheetId="2" r:id="rId2"/>
    <sheet name="20Н" sheetId="3" r:id="rId3"/>
    <sheet name="26Н" sheetId="4" r:id="rId4"/>
    <sheet name="62Н" sheetId="5" r:id="rId5"/>
    <sheet name="91Н" sheetId="6" r:id="rId6"/>
    <sheet name="INDEX" sheetId="7" r:id="rId7"/>
    <sheet name="ИСХ" sheetId="8" r:id="rId8"/>
    <sheet name="нов ИСХ" sheetId="9" r:id="rId9"/>
    <sheet name="П1.16" sheetId="10" r:id="rId10"/>
    <sheet name="П 2.1." sheetId="11" r:id="rId11"/>
    <sheet name="П2.2" sheetId="12" r:id="rId12"/>
  </sheets>
  <externalReferences>
    <externalReference r:id="rId15"/>
    <externalReference r:id="rId16"/>
    <externalReference r:id="rId17"/>
  </externalReferences>
  <definedNames>
    <definedName name="bl_Активы" localSheetId="6">#REF!</definedName>
    <definedName name="bl_Активы" localSheetId="8">#REF!</definedName>
    <definedName name="bl_Активы">#REF!</definedName>
    <definedName name="bl_ВнеобАктивы" localSheetId="6">#REF!</definedName>
    <definedName name="bl_ВнеобАктивы" localSheetId="8">#REF!</definedName>
    <definedName name="bl_ВнеобАктивы">#REF!</definedName>
    <definedName name="bl_Дебиторка" localSheetId="6">#REF!</definedName>
    <definedName name="bl_Дебиторка" localSheetId="8">#REF!</definedName>
    <definedName name="bl_Дебиторка">#REF!</definedName>
    <definedName name="bl_ДенСредства" localSheetId="6">#REF!</definedName>
    <definedName name="bl_ДенСредства" localSheetId="8">#REF!</definedName>
    <definedName name="bl_ДенСредства">#REF!</definedName>
    <definedName name="bl_ДолгПассивы" localSheetId="6">#REF!</definedName>
    <definedName name="bl_ДолгПассивы" localSheetId="8">#REF!</definedName>
    <definedName name="bl_ДолгПассивы">#REF!</definedName>
    <definedName name="bl_Запасы" localSheetId="6">#REF!</definedName>
    <definedName name="bl_Запасы" localSheetId="8">#REF!</definedName>
    <definedName name="bl_Запасы">#REF!</definedName>
    <definedName name="bl_Капитал" localSheetId="6">#REF!</definedName>
    <definedName name="bl_Капитал" localSheetId="8">#REF!</definedName>
    <definedName name="bl_Капитал">#REF!</definedName>
    <definedName name="bl_Кредиторка" localSheetId="6">#REF!</definedName>
    <definedName name="bl_Кредиторка" localSheetId="8">#REF!</definedName>
    <definedName name="bl_Кредиторка">#REF!</definedName>
    <definedName name="bl_КрКредиты" localSheetId="6">#REF!</definedName>
    <definedName name="bl_КрКредиты" localSheetId="8">#REF!</definedName>
    <definedName name="bl_КрКредиты">#REF!</definedName>
    <definedName name="bl_ТекАктивы" localSheetId="6">#REF!</definedName>
    <definedName name="bl_ТекАктивы" localSheetId="8">#REF!</definedName>
    <definedName name="bl_ТекАктивы">#REF!</definedName>
    <definedName name="bl_ТекПассивы" localSheetId="6">#REF!</definedName>
    <definedName name="bl_ТекПассивы" localSheetId="8">#REF!</definedName>
    <definedName name="bl_ТекПассивы">#REF!</definedName>
    <definedName name="DataOutLogistic" localSheetId="6">#REF!</definedName>
    <definedName name="DataOutLogistic" localSheetId="8">#REF!</definedName>
    <definedName name="DataOutLogistic">#REF!</definedName>
    <definedName name="kf_Период" localSheetId="6">#REF!</definedName>
    <definedName name="kf_Период" localSheetId="8">#REF!</definedName>
    <definedName name="kf_Период">#REF!</definedName>
    <definedName name="pl_Выручка" localSheetId="6">#REF!</definedName>
    <definedName name="pl_Выручка" localSheetId="8">#REF!</definedName>
    <definedName name="pl_Выручка">#REF!</definedName>
    <definedName name="pl_ПроцКредит" localSheetId="6">#REF!</definedName>
    <definedName name="pl_ПроцКредит" localSheetId="8">#REF!</definedName>
    <definedName name="pl_ПроцКредит">#REF!</definedName>
    <definedName name="pl_Себестоимость" localSheetId="6">#REF!</definedName>
    <definedName name="pl_Себестоимость" localSheetId="8">#REF!</definedName>
    <definedName name="pl_Себестоимость">#REF!</definedName>
    <definedName name="pl_ЧистПрибыль" localSheetId="6">#REF!</definedName>
    <definedName name="pl_ЧистПрибыль" localSheetId="8">#REF!</definedName>
    <definedName name="pl_ЧистПрибыль">#REF!</definedName>
    <definedName name="Гр_внешние" localSheetId="6">#REF!</definedName>
    <definedName name="Гр_внешние" localSheetId="8">#REF!</definedName>
    <definedName name="Гр_внешние">#REF!</definedName>
    <definedName name="Гр_внутренние" localSheetId="6">#REF!</definedName>
    <definedName name="Гр_внутренние" localSheetId="8">#REF!</definedName>
    <definedName name="Гр_внутренние">#REF!</definedName>
    <definedName name="З1" localSheetId="6">'[1]Доходы'!#REF!</definedName>
    <definedName name="З1" localSheetId="8">'[1]Доходы'!#REF!</definedName>
    <definedName name="З1">'[1]Доходы'!#REF!</definedName>
    <definedName name="Загрузк_2" localSheetId="6">'[2]Доходы'!#REF!</definedName>
    <definedName name="Загрузк_2" localSheetId="8">'[2]Доходы'!#REF!</definedName>
    <definedName name="Загрузк_2">'[2]Доходы'!#REF!</definedName>
    <definedName name="Загрузка" localSheetId="6">'[2]Доходы'!#REF!</definedName>
    <definedName name="Загрузка" localSheetId="8">'[2]Доходы'!#REF!</definedName>
    <definedName name="Загрузка">'[2]Доходы'!#REF!</definedName>
    <definedName name="Кл_внешние" localSheetId="6">#REF!</definedName>
    <definedName name="Кл_внешние" localSheetId="8">#REF!</definedName>
    <definedName name="Кл_внешние">#REF!</definedName>
    <definedName name="Кл_внутренние" localSheetId="6">#REF!</definedName>
    <definedName name="Кл_внутренние" localSheetId="8">#REF!</definedName>
    <definedName name="Кл_внутренние">#REF!</definedName>
    <definedName name="НДС" localSheetId="6">'[2]Доходы'!#REF!</definedName>
    <definedName name="НДС" localSheetId="8">'[2]Доходы'!#REF!</definedName>
    <definedName name="НДС">'[2]Доходы'!#REF!</definedName>
    <definedName name="_xlnm.Print_Area" localSheetId="10">'П 2.1.'!$A$2:$K$52</definedName>
    <definedName name="_xlnm.Print_Area" localSheetId="9">'П1.16'!$A$1:$H$48</definedName>
    <definedName name="_xlnm.Print_Area" localSheetId="11">'П2.2'!$A$1:$J$55</definedName>
  </definedNames>
  <calcPr fullCalcOnLoad="1"/>
</workbook>
</file>

<file path=xl/comments10.xml><?xml version="1.0" encoding="utf-8"?>
<comments xmlns="http://schemas.openxmlformats.org/spreadsheetml/2006/main">
  <authors>
    <author>Igor</author>
  </authors>
  <commentList>
    <comment ref="E35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Должно быть E7*E31*12=3819.04, но у ЛенРТК ошибка вычислений</t>
        </r>
      </text>
    </comment>
    <comment ref="E47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Меньше, чем неадо на 10 руб. из-за ошибки ЛенРТК</t>
        </r>
      </text>
    </comment>
    <comment ref="G7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Численность по нормативам обслуживания</t>
        </r>
      </text>
    </comment>
    <comment ref="F10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Подгонка</t>
        </r>
      </text>
    </comment>
    <comment ref="J31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Корректировка округления 1 коп</t>
        </r>
      </text>
    </comment>
  </commentList>
</comments>
</file>

<file path=xl/comments2.xml><?xml version="1.0" encoding="utf-8"?>
<comments xmlns="http://schemas.openxmlformats.org/spreadsheetml/2006/main">
  <authors>
    <author>Igor</author>
  </authors>
  <commentList>
    <comment ref="A27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От ПСК, ВЭБ-лизинг</t>
        </r>
      </text>
    </comment>
    <comment ref="A21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Штрафы связанные с транспортом</t>
        </r>
      </text>
    </comment>
    <comment ref="A20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Криптопро, росреестр и т.п.</t>
        </r>
      </text>
    </comment>
    <comment ref="A19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НДС с продажи Туарега</t>
        </r>
      </text>
    </comment>
  </commentList>
</comments>
</file>

<file path=xl/comments3.xml><?xml version="1.0" encoding="utf-8"?>
<comments xmlns="http://schemas.openxmlformats.org/spreadsheetml/2006/main">
  <authors>
    <author>Igor</author>
  </authors>
  <commentList>
    <comment ref="A12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пломбы и проволока</t>
        </r>
      </text>
    </comment>
    <comment ref="A31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Запчасти ГЩУ</t>
        </r>
      </text>
    </comment>
    <comment ref="A37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Счётчик</t>
        </r>
      </text>
    </comment>
    <comment ref="A57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Заплачено ЛЭ, вернулось в составе платы стронгбоксом за ТП, не предъявляем</t>
        </r>
      </text>
    </comment>
    <comment ref="A28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Обслуж. ТМ и связь</t>
        </r>
      </text>
    </comment>
  </commentList>
</comments>
</file>

<file path=xl/comments4.xml><?xml version="1.0" encoding="utf-8"?>
<comments xmlns="http://schemas.openxmlformats.org/spreadsheetml/2006/main">
  <authors>
    <author>Igor</author>
  </authors>
  <commentList>
    <comment ref="A22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Осаго и каско</t>
        </r>
      </text>
    </comment>
    <comment ref="A17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Канцтовары</t>
        </r>
      </text>
    </comment>
    <comment ref="A26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Офисные ключи</t>
        </r>
      </text>
    </comment>
    <comment ref="F28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Бензин</t>
        </r>
      </text>
    </comment>
    <comment ref="A28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Офисные</t>
        </r>
      </text>
    </comment>
  </commentList>
</comments>
</file>

<file path=xl/comments5.xml><?xml version="1.0" encoding="utf-8"?>
<comments xmlns="http://schemas.openxmlformats.org/spreadsheetml/2006/main">
  <authors>
    <author>Igor</author>
  </authors>
  <commentList>
    <comment ref="A31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Получено за ТП</t>
        </r>
      </text>
    </comment>
  </commentList>
</comments>
</file>

<file path=xl/comments6.xml><?xml version="1.0" encoding="utf-8"?>
<comments xmlns="http://schemas.openxmlformats.org/spreadsheetml/2006/main">
  <authors>
    <author>Igor</author>
  </authors>
  <commentList>
    <comment ref="A21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Всякая хрень (кофе на заправке в т.ч.)</t>
        </r>
      </text>
    </comment>
    <comment ref="A26" authorId="0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НДС без счёт-фактур, не компенсируются нам - чистые потери</t>
        </r>
      </text>
    </comment>
  </commentList>
</comments>
</file>

<file path=xl/comments7.xml><?xml version="1.0" encoding="utf-8"?>
<comments xmlns="http://schemas.openxmlformats.org/spreadsheetml/2006/main">
  <authors>
    <author>POLINA</author>
    <author>Igor</author>
  </authors>
  <commentList>
    <comment ref="B20" authorId="0">
      <text>
        <r>
          <rPr>
            <b/>
            <sz val="8"/>
            <rFont val="Tahoma"/>
            <family val="2"/>
          </rPr>
          <t>POLINA:</t>
        </r>
        <r>
          <rPr>
            <sz val="8"/>
            <rFont val="Tahoma"/>
            <family val="2"/>
          </rPr>
          <t xml:space="preserve">
Не свпадает со строкой 11 из 1.15, т.к. там ещё пожарка, АСКУЭ и ТМ</t>
        </r>
      </text>
    </comment>
    <comment ref="E71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Ошибочно учтён по второму разу лизинг транспорта</t>
        </r>
      </text>
    </comment>
    <comment ref="F94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От ЛЭ без потерь и НДС!</t>
        </r>
      </text>
    </comment>
    <comment ref="G95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Экспертное. Анализ предложения Энергоинвест</t>
        </r>
      </text>
    </comment>
  </commentList>
</comments>
</file>

<file path=xl/comments8.xml><?xml version="1.0" encoding="utf-8"?>
<comments xmlns="http://schemas.openxmlformats.org/spreadsheetml/2006/main">
  <authors>
    <author>Автор</author>
    <author>Igor</author>
    <author>POLINA</author>
  </authors>
  <commentList>
    <comment ref="W4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Мой прогноз, с прошлого года</t>
        </r>
      </text>
    </comment>
    <comment ref="AA59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 полугодиям, из приказа ЛенРТК</t>
        </r>
      </text>
    </comment>
    <comment ref="W61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Мой вольюнтаристский прогноз</t>
        </r>
      </text>
    </comment>
    <comment ref="W31" authorId="0">
      <text>
        <r>
          <rPr>
            <sz val="9"/>
            <rFont val="Tahoma"/>
            <family val="2"/>
          </rPr>
          <t>Не посчитано пока</t>
        </r>
      </text>
    </comment>
    <comment ref="W95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Подгонка</t>
        </r>
      </text>
    </comment>
    <comment ref="W59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Подгонка</t>
        </r>
      </text>
    </comment>
    <comment ref="W76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Подгонка</t>
        </r>
      </text>
    </comment>
    <comment ref="AA76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 полугодиям, из приказа ЛенРТК</t>
        </r>
      </text>
    </comment>
    <comment ref="W78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Мой вольюнтаристский прогноз</t>
        </r>
      </text>
    </comment>
    <comment ref="F84" authorId="2">
      <text>
        <r>
          <rPr>
            <b/>
            <sz val="8"/>
            <rFont val="Tahoma"/>
            <family val="2"/>
          </rPr>
          <t>POLINA:</t>
        </r>
        <r>
          <rPr>
            <sz val="8"/>
            <rFont val="Tahoma"/>
            <family val="2"/>
          </rPr>
          <t xml:space="preserve">
Подгон род экспертное</t>
        </r>
      </text>
    </comment>
    <comment ref="F92" authorId="2">
      <text>
        <r>
          <rPr>
            <b/>
            <sz val="8"/>
            <rFont val="Tahoma"/>
            <family val="2"/>
          </rPr>
          <t>POLINA:</t>
        </r>
        <r>
          <rPr>
            <sz val="8"/>
            <rFont val="Tahoma"/>
            <family val="2"/>
          </rPr>
          <t xml:space="preserve">
Подгон под экспертное</t>
        </r>
      </text>
    </comment>
    <comment ref="E97" authorId="2">
      <text>
        <r>
          <rPr>
            <b/>
            <sz val="8"/>
            <rFont val="Tahoma"/>
            <family val="2"/>
          </rPr>
          <t>POLINA:</t>
        </r>
        <r>
          <rPr>
            <sz val="8"/>
            <rFont val="Tahoma"/>
            <family val="2"/>
          </rPr>
          <t xml:space="preserve">
Из экспертного разделение на полугодия</t>
        </r>
      </text>
    </comment>
    <comment ref="X119" authorId="2">
      <text>
        <r>
          <rPr>
            <b/>
            <sz val="8"/>
            <rFont val="Tahoma"/>
            <family val="2"/>
          </rPr>
          <t>POLINA:</t>
        </r>
        <r>
          <rPr>
            <sz val="8"/>
            <rFont val="Tahoma"/>
            <family val="2"/>
          </rPr>
          <t xml:space="preserve">
С пересчётом на НДС</t>
        </r>
      </text>
    </comment>
    <comment ref="AC60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</t>
        </r>
      </text>
    </comment>
    <comment ref="AC113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Весь столбик совпадает с 3.1 от 07.04.17</t>
        </r>
      </text>
    </comment>
    <comment ref="W113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Вставить и ЗолПес потом</t>
        </r>
      </text>
    </comment>
    <comment ref="G102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На согласование в ПСК 06.12.17. Вместо ЗолПес ошибочно повторно РощДом</t>
        </r>
      </text>
    </comment>
    <comment ref="G115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Всреднем в ЗолПес в НОЯ 2017 потери были 4.72 %</t>
        </r>
      </text>
    </comment>
  </commentList>
</comments>
</file>

<file path=xl/comments9.xml><?xml version="1.0" encoding="utf-8"?>
<comments xmlns="http://schemas.openxmlformats.org/spreadsheetml/2006/main">
  <authors>
    <author>User52</author>
    <author>Igor</author>
  </authors>
  <commentList>
    <comment ref="O72" authorId="0">
      <text>
        <r>
          <rPr>
            <b/>
            <sz val="9"/>
            <rFont val="Tahoma"/>
            <family val="2"/>
          </rPr>
          <t>User52:</t>
        </r>
        <r>
          <rPr>
            <sz val="9"/>
            <rFont val="Tahoma"/>
            <family val="2"/>
          </rPr>
          <t xml:space="preserve">
Заявлено в ЛенРТК</t>
        </r>
      </text>
    </comment>
    <comment ref="K72" authorId="0">
      <text>
        <r>
          <rPr>
            <b/>
            <sz val="9"/>
            <rFont val="Tahoma"/>
            <family val="2"/>
          </rPr>
          <t>User52:</t>
        </r>
        <r>
          <rPr>
            <sz val="9"/>
            <rFont val="Tahoma"/>
            <family val="2"/>
          </rPr>
          <t xml:space="preserve">
В форме ЛенРТК указана такая величина</t>
        </r>
      </text>
    </comment>
    <comment ref="K19" authorId="0">
      <text>
        <r>
          <rPr>
            <b/>
            <sz val="9"/>
            <rFont val="Tahoma"/>
            <family val="2"/>
          </rPr>
          <t>User52:</t>
        </r>
        <r>
          <rPr>
            <sz val="9"/>
            <rFont val="Tahoma"/>
            <family val="2"/>
          </rPr>
          <t xml:space="preserve">
Реально было "--10345" но в ПСК пошло "0"</t>
        </r>
      </text>
    </comment>
    <comment ref="C16" authorId="0">
      <text>
        <r>
          <rPr>
            <b/>
            <sz val="9"/>
            <rFont val="Tahoma"/>
            <family val="2"/>
          </rPr>
          <t>User52:</t>
        </r>
        <r>
          <rPr>
            <sz val="9"/>
            <rFont val="Tahoma"/>
            <family val="2"/>
          </rPr>
          <t xml:space="preserve">
Отпуск больше в Е46 на 697кВтч</t>
        </r>
      </text>
    </comment>
    <comment ref="J23" authorId="0">
      <text>
        <r>
          <rPr>
            <b/>
            <sz val="9"/>
            <rFont val="Tahoma"/>
            <family val="2"/>
          </rPr>
          <t>User52:</t>
        </r>
        <r>
          <rPr>
            <sz val="9"/>
            <rFont val="Tahoma"/>
            <family val="2"/>
          </rPr>
          <t xml:space="preserve">
Скорректировано, т.к. в ПСК пошёл "0" потерь</t>
        </r>
      </text>
    </comment>
    <comment ref="O125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% потерь 0.8 выбран произвольно, оценочно</t>
        </r>
      </text>
    </comment>
    <comment ref="Q78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Подгонка под 0.52% по треб. Артёма</t>
        </r>
      </text>
    </comment>
    <comment ref="Q84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Подгонка под 0.52% по треб. Артёма</t>
        </r>
      </text>
    </comment>
    <comment ref="Q104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Подгонка под 0.52% по треб. Артёма</t>
        </r>
      </text>
    </comment>
    <comment ref="Q108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Подгонка под 0.52% по треб. Артёма</t>
        </r>
      </text>
    </comment>
    <comment ref="C76" authorId="1">
      <text>
        <r>
          <rPr>
            <b/>
            <sz val="9"/>
            <rFont val="Tahoma"/>
            <family val="2"/>
          </rPr>
          <t>Igor:</t>
        </r>
        <r>
          <rPr>
            <sz val="9"/>
            <rFont val="Tahoma"/>
            <family val="2"/>
          </rPr>
          <t xml:space="preserve">
Подгонка под 0.52% по треб. Артёма</t>
        </r>
      </text>
    </comment>
  </commentList>
</comments>
</file>

<file path=xl/sharedStrings.xml><?xml version="1.0" encoding="utf-8"?>
<sst xmlns="http://schemas.openxmlformats.org/spreadsheetml/2006/main" count="1361" uniqueCount="650">
  <si>
    <t>СН</t>
  </si>
  <si>
    <t>1.3</t>
  </si>
  <si>
    <t>1.2</t>
  </si>
  <si>
    <t>1.1</t>
  </si>
  <si>
    <t>МВт</t>
  </si>
  <si>
    <t>кВтч</t>
  </si>
  <si>
    <t>-</t>
  </si>
  <si>
    <t>№ п/п</t>
  </si>
  <si>
    <t>Генеральный директор _______________________________________ Н.А.Войнова</t>
  </si>
  <si>
    <t>Н.А.Войнова</t>
  </si>
  <si>
    <t> 0</t>
  </si>
  <si>
    <t xml:space="preserve">Обслуживание оборудования систем коммерческого учёта </t>
  </si>
  <si>
    <t>Подразделение</t>
  </si>
  <si>
    <t>Расчет расходов долгосрочный</t>
  </si>
  <si>
    <t>Организация: ООО "Энергоинвест"</t>
  </si>
  <si>
    <t>инфляция</t>
  </si>
  <si>
    <t>индекс эффективности операционных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</si>
  <si>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</si>
  <si>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</si>
  <si>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</si>
  <si>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</si>
  <si>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</si>
  <si>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Расчёт подконтрольных расходов</t>
  </si>
  <si>
    <t>Материальные затраты</t>
  </si>
  <si>
    <t>2.1.1</t>
  </si>
  <si>
    <t>2.1.1.1</t>
  </si>
  <si>
    <t>ГСМ</t>
  </si>
  <si>
    <t>2.1.1.2</t>
  </si>
  <si>
    <t>прочие вспомогательные материалы</t>
  </si>
  <si>
    <t>2.1.2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</si>
  <si>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</si>
  <si>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2.1.3</t>
  </si>
  <si>
    <t>2.1.4</t>
  </si>
  <si>
    <t>Расходы на оплату труда</t>
  </si>
  <si>
    <t>Прочие расходы, всего, в т.ч.:</t>
  </si>
  <si>
    <t>2.3.1</t>
  </si>
  <si>
    <t>Ремонт основных фондов</t>
  </si>
  <si>
    <t>2.3.2</t>
  </si>
  <si>
    <t>Работы и услуги непроизводственного характера</t>
  </si>
  <si>
    <t>2.3.2.1</t>
  </si>
  <si>
    <t>Услуги связи</t>
  </si>
  <si>
    <t>2.3.2.2</t>
  </si>
  <si>
    <t>Расходы на охрану и пожарную безопасность</t>
  </si>
  <si>
    <t>2.3.2.3</t>
  </si>
  <si>
    <t>Расходы на услуги коммунального хозяйства</t>
  </si>
  <si>
    <t>2.3.2.4</t>
  </si>
  <si>
    <t>Расходы на юридические услуги</t>
  </si>
  <si>
    <t>2.3.2.5</t>
  </si>
  <si>
    <t>Расходы на информационные услуги</t>
  </si>
  <si>
    <t>2.3.2.6</t>
  </si>
  <si>
    <t>Расходы на консультационные услуги</t>
  </si>
  <si>
    <t>2.3.2.7</t>
  </si>
  <si>
    <t>Расходы на аудиторские услуги</t>
  </si>
  <si>
    <t>2.3.2.8</t>
  </si>
  <si>
    <t>Расходы на сертификацию</t>
  </si>
  <si>
    <t>2.3.2.9</t>
  </si>
  <si>
    <t>Транспортные услуги</t>
  </si>
  <si>
    <t>2.3.2.10</t>
  </si>
  <si>
    <t>Расходы на обеспечение нормальных условий труда и мер по технике безопасности</t>
  </si>
  <si>
    <t>2.3.2.11</t>
  </si>
  <si>
    <t>Расходы на командировки и представительские</t>
  </si>
  <si>
    <t>2.3.2.12</t>
  </si>
  <si>
    <t>Расходы на подготовку кадров</t>
  </si>
  <si>
    <t>2.3.2.13</t>
  </si>
  <si>
    <t>Расходы на страхование</t>
  </si>
  <si>
    <t>2.3.2.14</t>
  </si>
  <si>
    <t>2.3.2.15</t>
  </si>
  <si>
    <t>Содержание управляющей компании</t>
  </si>
  <si>
    <t>2.3.2.16</t>
  </si>
  <si>
    <t>Другие прочие подконтрольные расходы</t>
  </si>
  <si>
    <t>Внереализационные расходы</t>
  </si>
  <si>
    <t>Расходы на услуги банков</t>
  </si>
  <si>
    <t>% за пользование кредитом</t>
  </si>
  <si>
    <t>расходы на формирование резервов по сомнительным долгам</t>
  </si>
  <si>
    <t>3.4</t>
  </si>
  <si>
    <t>Другие обоснованные внереализационные расходы</t>
  </si>
  <si>
    <t>Расходы, не учитываемые в целях налогообложения</t>
  </si>
  <si>
    <t>Дивиденды</t>
  </si>
  <si>
    <t>Денежные выплаты социального характера (по коллективному договору)</t>
  </si>
  <si>
    <t>Резервный фонд</t>
  </si>
  <si>
    <t>Прочие расходы из прибыли</t>
  </si>
  <si>
    <t>ИТОГО подконтрольные расходы</t>
  </si>
  <si>
    <t>Расчёт неподконтрольных расходов</t>
  </si>
  <si>
    <t>Оплата услуг ОАО "ФСК ЕЭС"</t>
  </si>
  <si>
    <t>Электроэнергия на компенсацию потерь при передаче</t>
  </si>
  <si>
    <t>Теплоэнергия</t>
  </si>
  <si>
    <t>Плата за аренду имущества и лизинг</t>
  </si>
  <si>
    <t>Налоги, всего, в т.ч.:</t>
  </si>
  <si>
    <t>плата за землю</t>
  </si>
  <si>
    <t>транспортный налог</t>
  </si>
  <si>
    <t>Прочие налоги и сборы</t>
  </si>
  <si>
    <t>Другие прочие неподконтрольные расходы</t>
  </si>
  <si>
    <t>Налог на прибыль</t>
  </si>
  <si>
    <t>Выпадающие доходы от технологического присоединения</t>
  </si>
  <si>
    <t>Амортизация, учитываемая при налогообложении</t>
  </si>
  <si>
    <t>Амортизация, не учитываемая при налогообложении</t>
  </si>
  <si>
    <t>Погашение заёмных средств</t>
  </si>
  <si>
    <t>Капитальные вложения</t>
  </si>
  <si>
    <t>ИТОГО неподконтрольных расходов</t>
  </si>
  <si>
    <t xml:space="preserve">Расходы, связанные с компенсацией незапланированных расходов / полученный избыток </t>
  </si>
  <si>
    <t>Необходимая валовая выручка, всего</t>
  </si>
  <si>
    <t>Генеральный директор ООО "Энергоинвест" __________________________ Н.А.Войнова</t>
  </si>
  <si>
    <t>С/Н 2014 реаль</t>
  </si>
  <si>
    <t>Таблица П2.1</t>
  </si>
  <si>
    <t>17</t>
  </si>
  <si>
    <t>20</t>
  </si>
  <si>
    <t>21</t>
  </si>
  <si>
    <t>22</t>
  </si>
  <si>
    <t>Необходимая валовая выручка на содержание сетей, всего</t>
  </si>
  <si>
    <t>Покупка потерь электроэнергии</t>
  </si>
  <si>
    <t>1-е полуг.</t>
  </si>
  <si>
    <t>2-е полуг.</t>
  </si>
  <si>
    <t>Из экспертного 2017</t>
  </si>
  <si>
    <t>Система условных единиц для распределения общей суммы</t>
  </si>
  <si>
    <t>тарифной выручки по классам напряжения</t>
  </si>
  <si>
    <t>Объем воздушных линий электропередач (ВЛЭП) и кабельных линий</t>
  </si>
  <si>
    <t>электропередач (КЛЭП) в условных единицах в зависимости от протяженности,</t>
  </si>
  <si>
    <t>напряжения, конструктивного использования и материала опор</t>
  </si>
  <si>
    <t>Напряже-ние, кВ</t>
  </si>
  <si>
    <t>Количество цепей
на опоре</t>
  </si>
  <si>
    <t>Материал опор</t>
  </si>
  <si>
    <t>Количество условных единиц (у)
на 100 км трассы ЛЭП</t>
  </si>
  <si>
    <t>у/100 км</t>
  </si>
  <si>
    <t>7 = 5 * 6 / 100</t>
  </si>
  <si>
    <t>металл</t>
  </si>
  <si>
    <t>ж/бетон</t>
  </si>
  <si>
    <t>дерево</t>
  </si>
  <si>
    <t>ВН, всего</t>
  </si>
  <si>
    <t>дерево на ж/б пасынках</t>
  </si>
  <si>
    <t>ж/бетон,
металл</t>
  </si>
  <si>
    <t>20 - 35</t>
  </si>
  <si>
    <t>3 - 10</t>
  </si>
  <si>
    <t>СН, всего</t>
  </si>
  <si>
    <t>0,4 кВ</t>
  </si>
  <si>
    <t>до 1 кВ</t>
  </si>
  <si>
    <t>НН, всего</t>
  </si>
  <si>
    <r>
      <t>_____</t>
    </r>
    <r>
      <rPr>
        <sz val="11"/>
        <rFont val="Times New Roman"/>
        <family val="1"/>
      </rPr>
      <t>При расчете условных единиц протяженность ВЛЭП - 0,4 кВ от линии до ввода в здании не учитывается.</t>
    </r>
  </si>
  <si>
    <r>
      <t>_____</t>
    </r>
    <r>
      <rPr>
        <sz val="11"/>
        <rFont val="Times New Roman"/>
        <family val="1"/>
      </rPr>
      <t>Условные единицы по ВЛЭП - 0,4 кВ учитывают трудозатраты на обслуживание и ремонт:</t>
    </r>
  </si>
  <si>
    <r>
      <t>_____</t>
    </r>
    <r>
      <rPr>
        <sz val="11"/>
        <rFont val="Times New Roman"/>
        <family val="1"/>
      </rPr>
      <t>а) воздушных линий в здании;</t>
    </r>
  </si>
  <si>
    <r>
      <t>_____</t>
    </r>
    <r>
      <rPr>
        <sz val="11"/>
        <rFont val="Times New Roman"/>
        <family val="1"/>
      </rPr>
      <t>б) линий с совместной подвеской проводов.</t>
    </r>
  </si>
  <si>
    <r>
      <t>_____</t>
    </r>
    <r>
      <rPr>
        <sz val="11"/>
        <rFont val="Times New Roman"/>
        <family val="1"/>
      </rPr>
      <t>Условные единицы по ВЛЭП 0,4 - 20 кВ учитывают трудозатраты оперативного персонала распределительных сетей 0,4 - 20 кВ.</t>
    </r>
  </si>
  <si>
    <r>
      <t>_____</t>
    </r>
    <r>
      <rPr>
        <sz val="11"/>
        <rFont val="Times New Roman"/>
        <family val="1"/>
      </rPr>
      <t>Кабельные вводы учтены в условных единицах КЛЭП напряжением до 1 кВ.</t>
    </r>
  </si>
  <si>
    <t>2014 Рощ</t>
  </si>
  <si>
    <t>Приход 10</t>
  </si>
  <si>
    <t>Пот 10</t>
  </si>
  <si>
    <t>Пот 0.4</t>
  </si>
  <si>
    <t>Приход 0.4</t>
  </si>
  <si>
    <t>Отпуск 0.4</t>
  </si>
  <si>
    <t>2014 РД</t>
  </si>
  <si>
    <t>Приход 110</t>
  </si>
  <si>
    <t>Потери 110</t>
  </si>
  <si>
    <t>Потери 10</t>
  </si>
  <si>
    <t>Отпуск 10</t>
  </si>
  <si>
    <t>Потери 0.4</t>
  </si>
  <si>
    <t>Рхх рд 1</t>
  </si>
  <si>
    <t>Рхх рд 2</t>
  </si>
  <si>
    <t>2015 Рощ</t>
  </si>
  <si>
    <t>2015 РД</t>
  </si>
  <si>
    <t>Заяв РД</t>
  </si>
  <si>
    <t>Рощ</t>
  </si>
  <si>
    <t>РД</t>
  </si>
  <si>
    <t>2018 Рощ</t>
  </si>
  <si>
    <t>2018 РД</t>
  </si>
  <si>
    <t>2   0   1   4</t>
  </si>
  <si>
    <t>2   0   1   5</t>
  </si>
  <si>
    <t>2   0   1   6</t>
  </si>
  <si>
    <t>2   0   1      7</t>
  </si>
  <si>
    <t>2   0   1   8</t>
  </si>
  <si>
    <t>Рощ факт</t>
  </si>
  <si>
    <t>Рощ Пл/ф</t>
  </si>
  <si>
    <t>Нагр%</t>
  </si>
  <si>
    <t>Длинна 0.4</t>
  </si>
  <si>
    <t>2014 с РД</t>
  </si>
  <si>
    <t>РДУ мах</t>
  </si>
  <si>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</si>
  <si>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</si>
  <si>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</si>
  <si>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</si>
  <si>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</si>
  <si>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</si>
  <si>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Номенклатурные группы</t>
  </si>
  <si>
    <t>Статьи затрат</t>
  </si>
  <si>
    <t>20.01</t>
  </si>
  <si>
    <t>Порошкино</t>
  </si>
  <si>
    <t xml:space="preserve"> 000.04 Услуги по технологическому присоединению Порошкино</t>
  </si>
  <si>
    <t>Аренда земли</t>
  </si>
  <si>
    <t>ГОСПОШЛИНА</t>
  </si>
  <si>
    <t xml:space="preserve"> 000.01 Услуги по передаче электрической энергии  Рощино</t>
  </si>
  <si>
    <t>&lt;...&gt;</t>
  </si>
  <si>
    <t>Обязательное и добровольное страхование имущества</t>
  </si>
  <si>
    <t>Потребленная электроэнергия</t>
  </si>
  <si>
    <t>Техническое обслуживание электроустановок</t>
  </si>
  <si>
    <t>Аренда имущества</t>
  </si>
  <si>
    <t>Взносы в ФСС от НС и ПЗ</t>
  </si>
  <si>
    <t>заявка на выписку из мифнс</t>
  </si>
  <si>
    <t>Лизинговый платеж за принятое в лизинг имущество</t>
  </si>
  <si>
    <t>Материальные расходы по а/о</t>
  </si>
  <si>
    <t>Обслуживание компьютерной и офисной техники</t>
  </si>
  <si>
    <t>Обучение, повышение квалификации</t>
  </si>
  <si>
    <t>Оплата труда</t>
  </si>
  <si>
    <t>передача в эксплуатацию 10.09</t>
  </si>
  <si>
    <t>повышение квалификации</t>
  </si>
  <si>
    <t>Страховые взносы</t>
  </si>
  <si>
    <t>Транспортные расходы</t>
  </si>
  <si>
    <t>Услуги связи, Интернет, Почта</t>
  </si>
  <si>
    <t>Контрагенты</t>
  </si>
  <si>
    <t>62.01</t>
  </si>
  <si>
    <t>ОАО "ЛЕНЭНЕРГО" (аренда)</t>
  </si>
  <si>
    <t>Прочие доходы и расходы</t>
  </si>
  <si>
    <t>91.01</t>
  </si>
  <si>
    <t>Проценты по договору краткосрочного займа</t>
  </si>
  <si>
    <t>Прочие внереализационные доходы (расходы)</t>
  </si>
  <si>
    <t>резерв по отпускам</t>
  </si>
  <si>
    <t>резерв по отпускам взносы</t>
  </si>
  <si>
    <t>91.02</t>
  </si>
  <si>
    <t>Госпошлина</t>
  </si>
  <si>
    <t>Прочие косвенные расходы</t>
  </si>
  <si>
    <t>Списание выделенного НДС на прочие расходы</t>
  </si>
  <si>
    <t>Услуги банка</t>
  </si>
  <si>
    <t>91.09</t>
  </si>
  <si>
    <t>Заяв.ЛЭ</t>
  </si>
  <si>
    <t>В составе ЛЭ</t>
  </si>
  <si>
    <t>ФОРМА 3.1 от 13.04.16</t>
  </si>
  <si>
    <t>В т.ч.</t>
  </si>
  <si>
    <t>2016 год утверждено ЛенРТК</t>
  </si>
  <si>
    <t>Заяв ЛЭ</t>
  </si>
  <si>
    <t>Реально</t>
  </si>
  <si>
    <t>Оплата потерь C НДС</t>
  </si>
  <si>
    <t>ЗАМЕНА!!!</t>
  </si>
  <si>
    <t>2016 факт</t>
  </si>
  <si>
    <r>
      <t xml:space="preserve">2016 Рощ </t>
    </r>
    <r>
      <rPr>
        <sz val="11"/>
        <color indexed="10"/>
        <rFont val="Calibri"/>
        <family val="2"/>
      </rPr>
      <t>ПЛАН</t>
    </r>
  </si>
  <si>
    <r>
      <t xml:space="preserve">2016 РД </t>
    </r>
    <r>
      <rPr>
        <sz val="11"/>
        <color indexed="10"/>
        <rFont val="Calibri"/>
        <family val="2"/>
      </rPr>
      <t>ПЛАН</t>
    </r>
  </si>
  <si>
    <t>2016 Рощ ФАКТ</t>
  </si>
  <si>
    <t>2016 РД ФАКТ</t>
  </si>
  <si>
    <r>
      <t xml:space="preserve">2017 Рощ </t>
    </r>
    <r>
      <rPr>
        <sz val="11"/>
        <color indexed="10"/>
        <rFont val="Calibri"/>
        <family val="2"/>
      </rPr>
      <t>ПЛАН утв РТК</t>
    </r>
  </si>
  <si>
    <r>
      <t xml:space="preserve">2017 РД </t>
    </r>
    <r>
      <rPr>
        <sz val="11"/>
        <color indexed="10"/>
        <rFont val="Calibri"/>
        <family val="2"/>
      </rPr>
      <t>ПЛАН утв РТК</t>
    </r>
  </si>
  <si>
    <t>Экспертн РТК</t>
  </si>
  <si>
    <t>2 0 1 6</t>
  </si>
  <si>
    <t xml:space="preserve"> 000.03 Услуги по передаче электрической энергии Порошкино</t>
  </si>
  <si>
    <t>Проектно-изыскательские работы</t>
  </si>
  <si>
    <t>подготовка и согласование прокладки подзем коммуникаций порошкино</t>
  </si>
  <si>
    <t>согласование проектной документации</t>
  </si>
  <si>
    <t>Рощинский дом</t>
  </si>
  <si>
    <t xml:space="preserve"> 000.05 Услуги по передаче электрической энергии Рощинский Дом</t>
  </si>
  <si>
    <t>Материальные расходы (производственные косвенные)</t>
  </si>
  <si>
    <t>Управление 26 счет</t>
  </si>
  <si>
    <t>Обновление бухгалтерских программ</t>
  </si>
  <si>
    <t>Проценты по договору о депозитном вкладе</t>
  </si>
  <si>
    <t>Штрафы, пени и неустойки к получению (уплате)</t>
  </si>
  <si>
    <t>Без НДС</t>
  </si>
  <si>
    <t>аренда электросетевого оборудвания</t>
  </si>
  <si>
    <t>аренда помещений</t>
  </si>
  <si>
    <t>аренда автотранспортных средств(лизинг)</t>
  </si>
  <si>
    <t>Аренда земельного участка</t>
  </si>
  <si>
    <t>8.1</t>
  </si>
  <si>
    <t>8.2</t>
  </si>
  <si>
    <t>8.3</t>
  </si>
  <si>
    <t>8.4</t>
  </si>
  <si>
    <t>14.1</t>
  </si>
  <si>
    <t>14.2</t>
  </si>
  <si>
    <t>15</t>
  </si>
  <si>
    <t>16</t>
  </si>
  <si>
    <t>ВСЕГО</t>
  </si>
  <si>
    <t>ИТОГО</t>
  </si>
  <si>
    <t>Обслуживание устройств ТМ и связи</t>
  </si>
  <si>
    <t>Потери 110кВ</t>
  </si>
  <si>
    <t>Потери 10кВ</t>
  </si>
  <si>
    <t>Вводы</t>
  </si>
  <si>
    <t>Фидера</t>
  </si>
  <si>
    <t>С/Н</t>
  </si>
  <si>
    <t>ЯНВ</t>
  </si>
  <si>
    <t>кВт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</si>
  <si>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</si>
  <si>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</si>
  <si>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</si>
  <si>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</si>
  <si>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</si>
  <si>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</si>
  <si>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</si>
  <si>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</si>
  <si>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</si>
  <si>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</si>
  <si>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</si>
  <si>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1.4</t>
  </si>
  <si>
    <t>1.5</t>
  </si>
  <si>
    <t>км</t>
  </si>
  <si>
    <t>1.6</t>
  </si>
  <si>
    <t>Р хх Т1</t>
  </si>
  <si>
    <t>Р хх Т2</t>
  </si>
  <si>
    <t>Р хх ТСН1</t>
  </si>
  <si>
    <t>Р хх ТСН2</t>
  </si>
  <si>
    <t>Итого</t>
  </si>
  <si>
    <t>Электроэнергия на хозяйственные нужды</t>
  </si>
  <si>
    <t>Таблица П2.2</t>
  </si>
  <si>
    <t>Объем подстанций 35 - 1150 кВ, трансформаторных подстанций (ТП),</t>
  </si>
  <si>
    <t>комплексных трансформаторных подстанций (КТП)</t>
  </si>
  <si>
    <t>и распределительных пунктов (РП) 0,4 - 20 кВ в условных единицах</t>
  </si>
  <si>
    <t>Единица измерения</t>
  </si>
  <si>
    <t>Напря-жение, кВ</t>
  </si>
  <si>
    <t>Количество условных единиц (у)
на единицу измерения</t>
  </si>
  <si>
    <t>у/ед. изм.</t>
  </si>
  <si>
    <t>ед. изм.</t>
  </si>
  <si>
    <t>У</t>
  </si>
  <si>
    <t>Подстанция</t>
  </si>
  <si>
    <t>П/ст</t>
  </si>
  <si>
    <t>400 - 500</t>
  </si>
  <si>
    <t>110 - 150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</si>
  <si>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</si>
  <si>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</si>
  <si>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1 - 20</t>
  </si>
  <si>
    <t>Воздушный выключатель</t>
  </si>
  <si>
    <t>3 фазы</t>
  </si>
  <si>
    <t>Масляный выключатель</t>
  </si>
  <si>
    <t>-"-</t>
  </si>
  <si>
    <t>Отделитель
с короткозамыкателем</t>
  </si>
  <si>
    <t>35</t>
  </si>
  <si>
    <t>Выключатель нагрузки</t>
  </si>
  <si>
    <t>Синхронный компенсатор мощн.
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</si>
  <si>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</si>
  <si>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</si>
  <si>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</si>
  <si>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</si>
  <si>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</si>
  <si>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Однотрансформаторная ТП, КТП</t>
  </si>
  <si>
    <t>ТП, КТП</t>
  </si>
  <si>
    <t>Двухтрансформаторная ТП, КТП</t>
  </si>
  <si>
    <t>Однотрансформаторная подстанция 34/0,4 кВ</t>
  </si>
  <si>
    <r>
      <t>_____</t>
    </r>
    <r>
      <rPr>
        <sz val="11"/>
        <rFont val="Times New Roman"/>
        <family val="1"/>
      </rPr>
      <t>Примечание:</t>
    </r>
  </si>
  <si>
    <r>
      <t>_____</t>
    </r>
    <r>
      <rPr>
        <sz val="11"/>
        <rFont val="Times New Roman"/>
        <family val="1"/>
      </rPr>
      <t>В п. 1 учтены трудозатраты оперативного персонала подстанций напряжением 35 - 1150 кВ.</t>
    </r>
  </si>
  <si>
    <r>
      <t>_____</t>
    </r>
    <r>
      <rPr>
        <sz val="11"/>
        <rFont val="Times New Roman"/>
        <family val="1"/>
      </rPr>
      <t>Условные единицы по пп. 2 - 9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  </r>
  </si>
  <si>
    <r>
      <t>_____</t>
    </r>
    <r>
      <rPr>
        <sz val="11"/>
        <rFont val="Times New Roman"/>
        <family val="1"/>
      </rPr>
      <t>Условные единицы по п. 2 "Силовые трансформаторы 1 - 20 кВ" определяются только для трансформаторов, используемых для собственных нужд подстанций 35 - 1150 кВ.</t>
    </r>
  </si>
  <si>
    <r>
      <t>_____</t>
    </r>
    <r>
      <rPr>
        <sz val="11"/>
        <rFont val="Times New Roman"/>
        <family val="1"/>
      </rPr>
      <t>По пп. 3 - 6 учтены дополнительные трудозатраты на обслуживание и ремонт устройств релейной защиты и автоматики, а для воздушных выключателей (п. 3) - дополнительно трудозатраты по обслуживанию и ремонту компрессорных установок.</t>
    </r>
  </si>
  <si>
    <r>
      <t>_____</t>
    </r>
    <r>
      <rPr>
        <sz val="11"/>
        <rFont val="Times New Roman"/>
        <family val="1"/>
      </rPr>
      <t>Значения условных единиц пп. 4 и 6 "Масляные выключатели 1 - 20 кВ" и "Выключатели нагрузки    1 - 20 кВ" относятся к коммутационным аппаратам, установленным в распределительных устройствах 1 - 20 кВ подстанций 35 - 1150 кВ, ТП, КТП и РП 1 - 20 кВ, а также к секционирующим коммутационным аппаратам на линиях 1 - 20 кВ.</t>
    </r>
  </si>
  <si>
    <r>
      <t>_____</t>
    </r>
    <r>
      <rPr>
        <sz val="11"/>
        <rFont val="Times New Roman"/>
        <family val="1"/>
      </rPr>
      <t>Объем РП 1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-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20 кВ в условных единицах определяется по количеству установленных масляных выключателей (п. 4) и выключателей нагрузки (п. 6). При установке в РП трансформаторов 1 - 20/0,4 кВ дополнительные объемы обслуживания определяются по п. 11 или 12.</t>
    </r>
  </si>
  <si>
    <r>
      <t>_____</t>
    </r>
    <r>
      <rPr>
        <sz val="11"/>
        <rFont val="Times New Roman"/>
        <family val="1"/>
      </rPr>
      <t>По пп. 10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-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12 дополнительно учтены трудозатраты оперативного персонала распределительных сетей 0,4 - 20 кВ.</t>
    </r>
  </si>
  <si>
    <r>
      <t>_____</t>
    </r>
    <r>
      <rPr>
        <sz val="11"/>
        <rFont val="Times New Roman"/>
        <family val="1"/>
      </rPr>
      <t>По пп. 1, 2 условные единицы относятся на уровень напряжения, соответствующий первичному напряжению.</t>
    </r>
  </si>
  <si>
    <r>
      <t>_____</t>
    </r>
    <r>
      <rPr>
        <sz val="11"/>
        <rFont val="Times New Roman"/>
        <family val="1"/>
      </rPr>
      <t>Условные единицы электрооборудования понизительных подстанций относятся на уровень высшего напряжения подстанций.</t>
    </r>
  </si>
  <si>
    <t>Общество с ограниченной ответственностью "Энергоинвест"</t>
  </si>
  <si>
    <t>Выводимые данные:</t>
  </si>
  <si>
    <t>БУ (данные бухгалтерского учета)</t>
  </si>
  <si>
    <t>Перепл на конец года</t>
  </si>
  <si>
    <t>Тариф средний</t>
  </si>
  <si>
    <t>Налог на имущество</t>
  </si>
  <si>
    <t>Заяв КЭ</t>
  </si>
  <si>
    <t>Приборы</t>
  </si>
  <si>
    <t>Усл.Пост.</t>
  </si>
  <si>
    <t>Нагр.</t>
  </si>
  <si>
    <t>тыс.руб.</t>
  </si>
  <si>
    <t>кВт*ч</t>
  </si>
  <si>
    <r>
      <t>______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в целом и отдельно по производству электрической энергии, производству тепловой энергии, передаче электрической энергии, передаче тепловой энергии.</t>
    </r>
  </si>
  <si>
    <t>13</t>
  </si>
  <si>
    <t>12</t>
  </si>
  <si>
    <t>11</t>
  </si>
  <si>
    <t>10</t>
  </si>
  <si>
    <t>9.4</t>
  </si>
  <si>
    <t>9.3</t>
  </si>
  <si>
    <t>9.2</t>
  </si>
  <si>
    <t>Целевые средства на НИОКР</t>
  </si>
  <si>
    <t>9.1</t>
  </si>
  <si>
    <t>9</t>
  </si>
  <si>
    <t>8</t>
  </si>
  <si>
    <t>Отчисления на социальные нужды</t>
  </si>
  <si>
    <t>7</t>
  </si>
  <si>
    <t>6</t>
  </si>
  <si>
    <t>5.2</t>
  </si>
  <si>
    <t>5.1</t>
  </si>
  <si>
    <t>Вспомогательные материалы</t>
  </si>
  <si>
    <t>№
п/п</t>
  </si>
  <si>
    <t>руб.</t>
  </si>
  <si>
    <t>Среднемесячный доход на 1 работника</t>
  </si>
  <si>
    <t>тыс. руб.</t>
  </si>
  <si>
    <t>Итого средства на потребление</t>
  </si>
  <si>
    <t>Итого по денежным выплатам</t>
  </si>
  <si>
    <t>5.3</t>
  </si>
  <si>
    <t>Денежные выплаты на 1 работника</t>
  </si>
  <si>
    <t>чел.</t>
  </si>
  <si>
    <t>Численность всего, принятая для расчета (базовый период - фактическая)</t>
  </si>
  <si>
    <t>Расчет по денежным выплатам</t>
  </si>
  <si>
    <t>5</t>
  </si>
  <si>
    <t>Итого средства на оплату труда непромышленного персонала</t>
  </si>
  <si>
    <t>4.5</t>
  </si>
  <si>
    <t>По Постановлению от 03.11.1994 № 1206</t>
  </si>
  <si>
    <t>4.4</t>
  </si>
  <si>
    <t>Льготный проезд к месту отдыха</t>
  </si>
  <si>
    <t>4.3</t>
  </si>
  <si>
    <t>Среднемесячная оплата труда на 1 работника</t>
  </si>
  <si>
    <t>4.2</t>
  </si>
  <si>
    <t>Численность, принятая для расчета (базовый период - фактическая)</t>
  </si>
  <si>
    <t>4.1</t>
  </si>
  <si>
    <t>Расчет средств на оплату труда непромышленного персонала (включенного в балансовую прибыль)</t>
  </si>
  <si>
    <t>4</t>
  </si>
  <si>
    <t>Итого средства на оплату труда ППП</t>
  </si>
  <si>
    <t>3.3</t>
  </si>
  <si>
    <t>3.2</t>
  </si>
  <si>
    <t>3.1</t>
  </si>
  <si>
    <t>Расчет средств на оплату труда ППП (включенного
в себестоимость)</t>
  </si>
  <si>
    <t>3</t>
  </si>
  <si>
    <t>Итого среднемесячная оплата труда на 1 работника</t>
  </si>
  <si>
    <t>2.12</t>
  </si>
  <si>
    <t>сумма выплат</t>
  </si>
  <si>
    <t>2.11.2</t>
  </si>
  <si>
    <t>%</t>
  </si>
  <si>
    <t>процент выплаты</t>
  </si>
  <si>
    <t>2.11.1</t>
  </si>
  <si>
    <t>Выплаты по районному коэффициенту и северные надбавки</t>
  </si>
  <si>
    <t>2.11</t>
  </si>
  <si>
    <t>2.10.2</t>
  </si>
  <si>
    <t>2.10.1</t>
  </si>
  <si>
    <t>Выплаты по итогам года</t>
  </si>
  <si>
    <t>2.10</t>
  </si>
  <si>
    <t>2.9.2</t>
  </si>
  <si>
    <t>2.9.1</t>
  </si>
  <si>
    <t>Вознаграждение за выслугу лет</t>
  </si>
  <si>
    <t>2.9</t>
  </si>
  <si>
    <t>2.8.2</t>
  </si>
  <si>
    <t>2.8.1</t>
  </si>
  <si>
    <t>Текущее премирование</t>
  </si>
  <si>
    <t>2.8</t>
  </si>
  <si>
    <t>2.7.2</t>
  </si>
  <si>
    <t>2.7.1</t>
  </si>
  <si>
    <t>Выплаты, связанные с режимом работы, с условиями труда 1 работника</t>
  </si>
  <si>
    <t>2.7</t>
  </si>
  <si>
    <t>Среднемесячная тарифная ставка ППП</t>
  </si>
  <si>
    <t>2.6</t>
  </si>
  <si>
    <t>Тарифный коэффициент, соответствующий ступени
по оплате труда</t>
  </si>
  <si>
    <t>2.5</t>
  </si>
  <si>
    <t>Средняя ступень оплаты</t>
  </si>
  <si>
    <t>2.4</t>
  </si>
  <si>
    <t>Тарифная ставка рабочего 1 разряда с учетом дефлятора</t>
  </si>
  <si>
    <t>2.3</t>
  </si>
  <si>
    <t>Дефлятор по заработной плате</t>
  </si>
  <si>
    <t>2.2</t>
  </si>
  <si>
    <t>Тарифная ставка рабочего 1 разряда</t>
  </si>
  <si>
    <t>2.1</t>
  </si>
  <si>
    <t>Средняя оплата труда</t>
  </si>
  <si>
    <t>Численность ППП</t>
  </si>
  <si>
    <t>Численность</t>
  </si>
  <si>
    <t>Ед. изм.</t>
  </si>
  <si>
    <t>Показатели</t>
  </si>
  <si>
    <t>Расчет расходов на оплату труда *</t>
  </si>
  <si>
    <t>Таблица П1.16</t>
  </si>
  <si>
    <t>Генеральный директор</t>
  </si>
  <si>
    <t>Наименование</t>
  </si>
  <si>
    <t>НН</t>
  </si>
  <si>
    <t>ВН</t>
  </si>
  <si>
    <t>КЛЭП</t>
  </si>
  <si>
    <t>ВЛЭП</t>
  </si>
  <si>
    <t>Амортизация</t>
  </si>
  <si>
    <t>14</t>
  </si>
  <si>
    <t>Объем потерь</t>
  </si>
  <si>
    <t>млн.кВт.ч.</t>
  </si>
  <si>
    <t>Цена потерь</t>
  </si>
  <si>
    <t>руб./МВт.ч.</t>
  </si>
  <si>
    <t>Всегно</t>
  </si>
  <si>
    <t>1-е пол.</t>
  </si>
  <si>
    <t>2-е пол.</t>
  </si>
  <si>
    <t>Экспертное</t>
  </si>
  <si>
    <t>МАХ РДУ</t>
  </si>
  <si>
    <t>Из 3.1 за 2016</t>
  </si>
  <si>
    <t>В формах 46ST и 3.1 для РТК 07.04.2017 в факте 2016 не учтён РощДом совсем</t>
  </si>
  <si>
    <t>2016 план</t>
  </si>
  <si>
    <t>ЗАЯВ</t>
  </si>
  <si>
    <t>Потери из экспертного</t>
  </si>
  <si>
    <t>Расходы на потери тыс.руб.</t>
  </si>
  <si>
    <t>2017                           c НДС       Соответствует экспертному</t>
  </si>
  <si>
    <t>Рхх 138</t>
  </si>
  <si>
    <t>Рхх856</t>
  </si>
  <si>
    <t>Рхх857</t>
  </si>
  <si>
    <t>Рхх858</t>
  </si>
  <si>
    <t>Рхх1055</t>
  </si>
  <si>
    <t>Корректировка Bi</t>
  </si>
  <si>
    <t>Корректировка КНК</t>
  </si>
  <si>
    <t>На 2019-й см. нов.исх.</t>
  </si>
  <si>
    <t>Рощинская 179</t>
  </si>
  <si>
    <t>Пот. 110</t>
  </si>
  <si>
    <t>Пот. 10</t>
  </si>
  <si>
    <t>Отп. 10</t>
  </si>
  <si>
    <t>РощДом</t>
  </si>
  <si>
    <t>Пост. 10</t>
  </si>
  <si>
    <t>Вводы 0.4</t>
  </si>
  <si>
    <t>Пот. 0.4</t>
  </si>
  <si>
    <t>Отп. 0.4</t>
  </si>
  <si>
    <t>ЗолПес</t>
  </si>
  <si>
    <t>2017 факт</t>
  </si>
  <si>
    <t>Нагр.пот.ВН</t>
  </si>
  <si>
    <t>Нагр.пот.СН</t>
  </si>
  <si>
    <t>Нагр.пот.НН</t>
  </si>
  <si>
    <t>У/П ВН</t>
  </si>
  <si>
    <t>У/П СН</t>
  </si>
  <si>
    <t>У/П НН</t>
  </si>
  <si>
    <t>Пот. 10 с СН</t>
  </si>
  <si>
    <t>Золотые Пески</t>
  </si>
  <si>
    <t xml:space="preserve"> 000.06Услуги по передаче электрической энергии Золотые Пески</t>
  </si>
  <si>
    <t>Проектные работы (ПИР)</t>
  </si>
  <si>
    <t>Рощино 20 счет</t>
  </si>
  <si>
    <t>Списание материалов</t>
  </si>
  <si>
    <t>Услуги по охране</t>
  </si>
  <si>
    <t>Стронгбокс 20 счет</t>
  </si>
  <si>
    <t xml:space="preserve"> 000.07 Услуги по технологическому присоединению Стронгбокс</t>
  </si>
  <si>
    <t>26</t>
  </si>
  <si>
    <t>Имущественные налоги</t>
  </si>
  <si>
    <t>услуги  банка</t>
  </si>
  <si>
    <t>Оборотно-сальдовая ведомость по счету 62 за 2017 г.</t>
  </si>
  <si>
    <t>Договоры</t>
  </si>
  <si>
    <t>Документы расчетов с контрагентом</t>
  </si>
  <si>
    <t>62</t>
  </si>
  <si>
    <t>Нечаев Сергей Анатольевич</t>
  </si>
  <si>
    <t>03/04/2017 от 03.04.2017</t>
  </si>
  <si>
    <t>Передача ОС 0000-000001 от 03.04.2017 0:00:00</t>
  </si>
  <si>
    <t>Договор №12-283 ОТ 01.01.12</t>
  </si>
  <si>
    <t>Реализация (акт, накладная) 0000-000013 от 31.12.2016 23:59:59</t>
  </si>
  <si>
    <t>Реализация (акт, накладная) 0000-000001 от 31.01.2017 23:59:59</t>
  </si>
  <si>
    <t>Реализация (акт, накладная) 0000-000003 от 28.02.2017 0:00:00</t>
  </si>
  <si>
    <t>Реализация (акт, накладная) 0000-000004 от 31.03.2017 0:00:00</t>
  </si>
  <si>
    <t>Реализация (акт, накладная) 0000-000005 от 30.04.2017 23:59:59</t>
  </si>
  <si>
    <t>Реализация (акт, накладная) 0000-000006 от 31.05.2017 23:59:59</t>
  </si>
  <si>
    <t>Реализация (акт, накладная) 0000-000007 от 30.06.2017 23:59:59</t>
  </si>
  <si>
    <t>Реализация (акт, накладная) 0000-000008 от 31.07.2017 23:59:59</t>
  </si>
  <si>
    <t>Реализация (акт, накладная) 0000-000009 от 31.08.2017 23:59:59</t>
  </si>
  <si>
    <t>Реализация (акт, накладная) 0000-000010 от 30.09.2017 23:59:59</t>
  </si>
  <si>
    <t>Реализация (акт, накладная) 0000-000011 от 31.10.2017 23:59:59</t>
  </si>
  <si>
    <t>Реализация (акт, накладная) 0000-000012 от 30.11.2017 0:00:00</t>
  </si>
  <si>
    <t>Реализация (акт, накладная) 0000-000013 от 31.12.2017 23:59:59</t>
  </si>
  <si>
    <t>Оборотно-сальдовая ведомость по счету 91 за 2017 г.</t>
  </si>
  <si>
    <t>91</t>
  </si>
  <si>
    <t>Доходы(расходы) связанные с реализацией основных средств</t>
  </si>
  <si>
    <t>Поступл.</t>
  </si>
  <si>
    <t>%  =</t>
  </si>
  <si>
    <t>Заяв.мощ. Общ.</t>
  </si>
  <si>
    <t>МАХ фидера</t>
  </si>
  <si>
    <t>В Рощино Рсред2017=</t>
  </si>
  <si>
    <t>МАХзолпес</t>
  </si>
  <si>
    <t>СредЗолПес</t>
  </si>
  <si>
    <t>Кпр=</t>
  </si>
  <si>
    <t>МАХ Мощн.</t>
  </si>
  <si>
    <t>Пос 963 и 964</t>
  </si>
  <si>
    <t>МАХ Мощ. 10</t>
  </si>
  <si>
    <t>МАХ 963 964</t>
  </si>
  <si>
    <t>963 и 964</t>
  </si>
  <si>
    <t>2019 с НДС</t>
  </si>
  <si>
    <t>2018 с НДС Проверить экспертное</t>
  </si>
  <si>
    <t>Утверждено ЛенРТК на 2018 год</t>
  </si>
  <si>
    <t>Реализация услуг по передаче</t>
  </si>
  <si>
    <t>Заяв.</t>
  </si>
  <si>
    <t>Поступ.</t>
  </si>
  <si>
    <t>Потери</t>
  </si>
  <si>
    <t>ЛенРТК план</t>
  </si>
  <si>
    <t>Предложение на 2019 год</t>
  </si>
  <si>
    <t>8 = 5 * 6 / 100</t>
  </si>
  <si>
    <t>Объем условных единиц, утверждён ЛенРТК на 2018 год</t>
  </si>
  <si>
    <t>Объем условных единиц 2017 год факт</t>
  </si>
  <si>
    <t>Перложе-ние протя-женность 2019 год</t>
  </si>
  <si>
    <t>У.Е.</t>
  </si>
  <si>
    <t>9 = 5 * 6 / 100</t>
  </si>
  <si>
    <t>Количество единиц измерения утверждённое ЛенРТК на 2018</t>
  </si>
  <si>
    <t>Количество единиц измерения Предложение на 2019</t>
  </si>
  <si>
    <t>Количество единиц измерения 2017 год факт</t>
  </si>
  <si>
    <t>Объем условных единиц 2018 год утверждён ЛенРТК</t>
  </si>
  <si>
    <t>9 = 5 * 6</t>
  </si>
  <si>
    <t>10 = 5 * 7</t>
  </si>
  <si>
    <t>11 = 5 * 8</t>
  </si>
  <si>
    <t>10 = 5 * 7 / 100</t>
  </si>
  <si>
    <t>11 = 5 * 8 / 100</t>
  </si>
  <si>
    <t>Перложение объём условных единиц на 2019 год</t>
  </si>
  <si>
    <t>Протя-женность 2017 год факт</t>
  </si>
  <si>
    <t>Протя-женность 2018 год от ЛенРТК</t>
  </si>
  <si>
    <t>Ежегодное изменение</t>
  </si>
  <si>
    <t>Прогноз на 2020 год</t>
  </si>
  <si>
    <t>Прогноз на 2021 год</t>
  </si>
  <si>
    <t>Прогноз на 2022 год</t>
  </si>
  <si>
    <t>Прогноз на 2023 год</t>
  </si>
  <si>
    <t>Перложение объём условных единиц на 2020 год</t>
  </si>
  <si>
    <t>Перложение объём условных единиц на 2021 год</t>
  </si>
  <si>
    <t>Перложение объём условных единиц на 2022 год</t>
  </si>
  <si>
    <t>Перложение объём условных единиц на 2023 год</t>
  </si>
  <si>
    <t>2020 с НДС</t>
  </si>
  <si>
    <t>2021 с НДС</t>
  </si>
  <si>
    <t>2022 с НДС</t>
  </si>
  <si>
    <t>2023 с НДС</t>
  </si>
  <si>
    <t>Прогноз инфляции</t>
  </si>
  <si>
    <t>Потери в 10 РД и ЗП принял=0</t>
  </si>
  <si>
    <t>2018 факт</t>
  </si>
  <si>
    <t>2019 ЛенРТК</t>
  </si>
  <si>
    <t>Оборотно-сальдовая ведомость по счету 20.01 за 2018 г.</t>
  </si>
  <si>
    <t>Прочие расходы</t>
  </si>
  <si>
    <t>Работы по расчистке территории и подготовке ее к застройке</t>
  </si>
  <si>
    <t>поверка трансфортаторов тока 10кВ</t>
  </si>
  <si>
    <t>Ремонт основных средств</t>
  </si>
  <si>
    <t>Техническое обслуживание систем охранно-пожарной сигнализации</t>
  </si>
  <si>
    <t>Техническое обслуживание телемеханики и связи рощино</t>
  </si>
  <si>
    <t xml:space="preserve">Техническое обслуживание электроустановок АСИКУЭ </t>
  </si>
  <si>
    <t>Техническое обслуживание электроустановок рощино</t>
  </si>
  <si>
    <t>Услуги по ремонту проиводственных площадок</t>
  </si>
  <si>
    <t>Техническое обслуживание линий</t>
  </si>
  <si>
    <t>услуги тех.присоединения</t>
  </si>
  <si>
    <t xml:space="preserve"> 000.08Услуги по передаче электрической энергии Стронгбокс</t>
  </si>
  <si>
    <t>Оборотно-сальдовая ведомость по счету 26 за 2018 г.</t>
  </si>
  <si>
    <t>Аренда парковочного места</t>
  </si>
  <si>
    <t>Добровольное медицинское страхование</t>
  </si>
  <si>
    <t>изготовление Баннера</t>
  </si>
  <si>
    <t xml:space="preserve">спец оценка условий труда </t>
  </si>
  <si>
    <t>Оборотно-сальдовая ведомость по счету 62 за 2018 г.</t>
  </si>
  <si>
    <t>Реализация (акт, накладная) 0000-000001 от 31.01.2018 23:59:59</t>
  </si>
  <si>
    <t>Реализация (акт, накладная) 0000-000002 от 28.02.2018 23:59:59</t>
  </si>
  <si>
    <t>Реализация (акт, накладная) 0000-000003 от 31.03.2018 23:59:59</t>
  </si>
  <si>
    <t>Реализация (акт, накладная) 0000-000004 от 30.04.2018 23:59:59</t>
  </si>
  <si>
    <t>Реализация (акт, накладная) 0000-000005 от 31.05.2018 23:59:59</t>
  </si>
  <si>
    <t>Реализация (акт, накладная) 0000-000007 от 30.06.2018 23:59:59</t>
  </si>
  <si>
    <t>Реализация (акт, накладная) 0000-000010 от 31.07.2018 23:59:59</t>
  </si>
  <si>
    <t>Реализация (акт, накладная) 0000-000011 от 31.08.2018 23:59:59</t>
  </si>
  <si>
    <t>Реализация (акт, накладная) 0000-000012 от 30.09.2018 23:59:59</t>
  </si>
  <si>
    <t>Реализация (акт, накладная) 0000-000013 от 31.10.2018 23:59:59</t>
  </si>
  <si>
    <t>Реализация (акт, накладная) 0000-000014 от 30.11.2018 23:59:59</t>
  </si>
  <si>
    <t>Реализация (акт, накладная) 0000-000015 от 31.12.2018 23:59:59</t>
  </si>
  <si>
    <t>ООО "ГЛАВЭНЕРГОСОЮЗ"</t>
  </si>
  <si>
    <t>Договор купли-продажи автотранспорта №01/07/2018 от 01.07.2018</t>
  </si>
  <si>
    <t>Передача ОС 0000-000001 от 01.07.2018 12:00:02</t>
  </si>
  <si>
    <t>ООО "Меридиан""</t>
  </si>
  <si>
    <t xml:space="preserve"> договор купли-продажи авто ягуар</t>
  </si>
  <si>
    <t>Реализация (акт, накладная) 0000-000009 от 02.07.2018 23:59:59</t>
  </si>
  <si>
    <t>ООО "СТРОНГБОКС"</t>
  </si>
  <si>
    <t>№2/11 от 27.12.2017</t>
  </si>
  <si>
    <t>Реализация (акт, накладная) 0000-000008 от 18.07.2018 12:00:00</t>
  </si>
  <si>
    <t>62.02</t>
  </si>
  <si>
    <t>Поступление на расчетный счет 0000-000010 от 21.06.2018 12:00:10</t>
  </si>
  <si>
    <t>Поступление на расчетный счет 0000-000002 от 23.01.2018 9:59:44</t>
  </si>
  <si>
    <t>Поступление на расчетный счет 0000-000006 от 10.04.2018 12:00:03</t>
  </si>
  <si>
    <t>Поступление на расчетный счет 0000-000009 от 13.06.2018 12:00:00</t>
  </si>
  <si>
    <t>Оборотно-сальдовая ведомость по счету 91 за 2018 г.</t>
  </si>
  <si>
    <t>Доходы (расходы), связанные с реализацией основных средств</t>
  </si>
  <si>
    <t>Доходы (расходы), связанные с реализацией прочего имущества</t>
  </si>
  <si>
    <t>ВСЁ С НДС!</t>
  </si>
  <si>
    <t>Протя-женность 2018 год факт</t>
  </si>
  <si>
    <t>Объем условных единиц 2018 год факт</t>
  </si>
  <si>
    <t>Количество единиц измерения 2018 год факт</t>
  </si>
  <si>
    <t>Утверждено ЛенРТК на 2019 год</t>
  </si>
  <si>
    <t>Кмах.мощ.</t>
  </si>
  <si>
    <t>Кперехода от 2018 к 2020</t>
  </si>
  <si>
    <t>2020 Рощинская 179</t>
  </si>
  <si>
    <t>Стронг</t>
  </si>
  <si>
    <t>Рассказ</t>
  </si>
  <si>
    <t>Стронгбокс</t>
  </si>
  <si>
    <t>ΔWнагр отн=</t>
  </si>
  <si>
    <t>ΔWхх=</t>
  </si>
  <si>
    <t>кВтч в сут</t>
  </si>
  <si>
    <t>ΔWопн=</t>
  </si>
  <si>
    <t>ΔWтт=</t>
  </si>
  <si>
    <t>ΔWтн=</t>
  </si>
  <si>
    <t>ΔWизолят вл=</t>
  </si>
  <si>
    <t>Рабочие дни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</si>
</sst>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000000000"/>
    <numFmt numFmtId="174" formatCode="#,##0.000"/>
    <numFmt numFmtId="175" formatCode="#,##0.00000"/>
    <numFmt numFmtId="176" formatCode="#,##0.0000000"/>
    <numFmt numFmtId="177" formatCode="#,##0.000000000000000"/>
    <numFmt numFmtId="178" formatCode="0.000"/>
    <numFmt numFmtId="179" formatCode="0.0"/>
    <numFmt numFmtId="180" formatCode="#,##0.00;[Red]\-#,##0.00"/>
    <numFmt numFmtId="181" formatCode="#,##0.000000"/>
    <numFmt numFmtId="182" formatCode="0.0000"/>
    <numFmt numFmtId="183" formatCode="#,##0.0000"/>
    <numFmt numFmtId="184" formatCode="#,##0.00_ ;[Red]\-#,##0.00\ "/>
    <numFmt numFmtId="185" formatCode="0.00;[Red]\-0.00"/>
    <numFmt numFmtId="186" formatCode="000000000"/>
    <numFmt numFmtId="187" formatCode="#,##0.00_р_."/>
    <numFmt numFmtId="188" formatCode="#,##0.00&quot;р.&quot;"/>
    <numFmt numFmtId="189" formatCode="0.0000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000"/>
    <numFmt numFmtId="196" formatCode="#,##0.000&quot;р.&quot;"/>
    <numFmt numFmtId="197" formatCode="_-* #,##0_р_._-;\-* #,##0_р_._-;_-* &quot;-&quot;??_р_._-;_-@_-"/>
    <numFmt numFmtId="198" formatCode="#,##0_р_."/>
    <numFmt numFmtId="199" formatCode="0.0000%"/>
    <numFmt numFmtId="200" formatCode="_-* #,##0.0000_р_._-;\-* #,##0.0000_р_._-;_-* &quot;-&quot;????_р_._-;_-@_-"/>
    <numFmt numFmtId="201" formatCode="#,##0.00000000000_ ;[Red]\-#,##0.00000000000\ "/>
    <numFmt numFmtId="202" formatCode="0.0000000"/>
    <numFmt numFmtId="203" formatCode="#,##0.0000000_ ;[Red]\-#,##0.0000000\ "/>
    <numFmt numFmtId="204" formatCode="0.0%"/>
    <numFmt numFmtId="205" formatCode="0.000%"/>
    <numFmt numFmtId="206" formatCode="0.000000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0"/>
      <color indexed="3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"/>
      <color indexed="24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16"/>
      <name val="Calibri"/>
      <family val="2"/>
    </font>
    <font>
      <sz val="10"/>
      <color indexed="10"/>
      <name val="Calibri"/>
      <family val="2"/>
    </font>
    <font>
      <sz val="11"/>
      <color indexed="49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24"/>
      <name val="Arial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10"/>
      <name val="Helv"/>
      <family val="0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21"/>
      <name val="Tahoma"/>
      <family val="2"/>
    </font>
    <font>
      <i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Tahoma"/>
      <family val="2"/>
    </font>
    <font>
      <sz val="9"/>
      <color indexed="24"/>
      <name val="Arial"/>
      <family val="2"/>
    </font>
    <font>
      <sz val="11"/>
      <color indexed="20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b/>
      <sz val="11"/>
      <color indexed="10"/>
      <name val="Calibri"/>
      <family val="2"/>
    </font>
    <font>
      <sz val="9"/>
      <color indexed="13"/>
      <name val="Tahoma"/>
      <family val="2"/>
    </font>
    <font>
      <sz val="11"/>
      <color indexed="40"/>
      <name val="Calibri"/>
      <family val="2"/>
    </font>
    <font>
      <b/>
      <sz val="11"/>
      <color indexed="60"/>
      <name val="Calibri"/>
      <family val="2"/>
    </font>
    <font>
      <sz val="12"/>
      <color indexed="1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51"/>
      <name val="Calibri"/>
      <family val="2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9"/>
      <color indexed="36"/>
      <name val="Tahoma"/>
      <family val="2"/>
    </font>
    <font>
      <sz val="9"/>
      <color indexed="30"/>
      <name val="Tahoma"/>
      <family val="2"/>
    </font>
    <font>
      <sz val="9"/>
      <color indexed="60"/>
      <name val="Tahoma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0"/>
      <color indexed="56"/>
      <name val="Times New Roman"/>
      <family val="1"/>
    </font>
    <font>
      <sz val="10"/>
      <color indexed="60"/>
      <name val="Calibri"/>
      <family val="2"/>
    </font>
    <font>
      <b/>
      <sz val="8"/>
      <color indexed="60"/>
      <name val="Arial"/>
      <family val="2"/>
    </font>
    <font>
      <sz val="10"/>
      <color indexed="60"/>
      <name val="Times New Roman"/>
      <family val="1"/>
    </font>
    <font>
      <b/>
      <sz val="11"/>
      <color indexed="50"/>
      <name val="Calibri"/>
      <family val="2"/>
    </font>
    <font>
      <b/>
      <sz val="10"/>
      <color indexed="30"/>
      <name val="Times New Roman"/>
      <family val="1"/>
    </font>
    <font>
      <b/>
      <sz val="10"/>
      <color indexed="60"/>
      <name val="Times New Roman"/>
      <family val="1"/>
    </font>
    <font>
      <sz val="11"/>
      <color indexed="3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11"/>
      <color indexed="30"/>
      <name val="Calibri"/>
      <family val="2"/>
    </font>
    <font>
      <b/>
      <sz val="11"/>
      <color indexed="51"/>
      <name val="Calibri"/>
      <family val="2"/>
    </font>
    <font>
      <b/>
      <sz val="9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sz val="11"/>
      <color rgb="FFFFC000"/>
      <name val="Calibri"/>
      <family val="2"/>
    </font>
    <font>
      <sz val="10"/>
      <color rgb="FF0070C0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sz val="9"/>
      <color rgb="FF7030A0"/>
      <name val="Tahoma"/>
      <family val="2"/>
    </font>
    <font>
      <sz val="11"/>
      <color rgb="FF7030A0"/>
      <name val="Calibri"/>
      <family val="2"/>
    </font>
    <font>
      <sz val="11"/>
      <color theme="6" tint="-0.4999699890613556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rgb="FF7030A0"/>
      <name val="Calibri"/>
      <family val="2"/>
    </font>
    <font>
      <sz val="10"/>
      <color rgb="FF002060"/>
      <name val="Times New Roman"/>
      <family val="1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sz val="10"/>
      <color theme="9" tint="-0.4999699890613556"/>
      <name val="Calibri"/>
      <family val="2"/>
    </font>
    <font>
      <b/>
      <sz val="8"/>
      <color theme="9" tint="-0.4999699890613556"/>
      <name val="Arial"/>
      <family val="2"/>
    </font>
    <font>
      <b/>
      <sz val="11"/>
      <color theme="9" tint="-0.4999699890613556"/>
      <name val="Calibri"/>
      <family val="2"/>
    </font>
    <font>
      <sz val="10"/>
      <color theme="9" tint="-0.4999699890613556"/>
      <name val="Times New Roman"/>
      <family val="1"/>
    </font>
    <font>
      <b/>
      <sz val="11"/>
      <color rgb="FF92D050"/>
      <name val="Calibri"/>
      <family val="2"/>
    </font>
    <font>
      <sz val="9"/>
      <color rgb="FF0070C0"/>
      <name val="Tahoma"/>
      <family val="2"/>
    </font>
    <font>
      <sz val="11"/>
      <color theme="9" tint="-0.4999699890613556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9" tint="-0.4999699890613556"/>
      <name val="Times New Roman"/>
      <family val="1"/>
    </font>
    <font>
      <sz val="11"/>
      <color rgb="FF0070C0"/>
      <name val="Times New Roman"/>
      <family val="1"/>
    </font>
    <font>
      <sz val="12"/>
      <color theme="9" tint="-0.4999699890613556"/>
      <name val="Times New Roman"/>
      <family val="1"/>
    </font>
    <font>
      <b/>
      <sz val="12"/>
      <color theme="9" tint="-0.4999699890613556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sz val="11"/>
      <color theme="9" tint="-0.4999699890613556"/>
      <name val="Calibri"/>
      <family val="2"/>
    </font>
    <font>
      <sz val="9"/>
      <color rgb="FFFF0000"/>
      <name val="Tahoma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C00000"/>
      <name val="Times New Roman"/>
      <family val="1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FFC000"/>
      <name val="Calibri"/>
      <family val="2"/>
    </font>
    <font>
      <sz val="9"/>
      <color rgb="FFC00000"/>
      <name val="Tahoma"/>
      <family val="2"/>
    </font>
    <font>
      <b/>
      <sz val="9"/>
      <color rgb="FF7030A0"/>
      <name val="Tahoma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/>
      <right style="thin"/>
      <top style="thin">
        <color indexed="63"/>
      </top>
      <bottom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/>
      <top style="thin">
        <color indexed="29"/>
      </top>
      <bottom style="thin">
        <color indexed="29"/>
      </bottom>
    </border>
    <border>
      <left/>
      <right style="thin">
        <color indexed="29"/>
      </right>
      <top style="thin">
        <color indexed="29"/>
      </top>
      <bottom style="thin">
        <color indexed="29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/>
      <right/>
      <top style="thin"/>
      <bottom/>
    </border>
    <border>
      <left/>
      <right>
        <color indexed="63"/>
      </right>
      <top style="thin"/>
      <bottom style="medium">
        <color indexed="63"/>
      </bottom>
    </border>
    <border>
      <left style="thin">
        <color indexed="26"/>
      </left>
      <right style="thin">
        <color indexed="26"/>
      </right>
      <top/>
      <bottom/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1" applyNumberFormat="0" applyAlignment="0" applyProtection="0"/>
    <xf numFmtId="0" fontId="110" fillId="27" borderId="2" applyNumberFormat="0" applyAlignment="0" applyProtection="0"/>
    <xf numFmtId="0" fontId="111" fillId="27" borderId="1" applyNumberFormat="0" applyAlignment="0" applyProtection="0"/>
    <xf numFmtId="0" fontId="1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6" applyBorder="0">
      <alignment horizontal="center" vertical="center" wrapText="1"/>
      <protection/>
    </xf>
    <xf numFmtId="0" fontId="116" fillId="0" borderId="7" applyNumberFormat="0" applyFill="0" applyAlignment="0" applyProtection="0"/>
    <xf numFmtId="0" fontId="117" fillId="28" borderId="8" applyNumberFormat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0" fillId="0" borderId="0" applyNumberFormat="0" applyFill="0" applyBorder="0" applyAlignment="0" applyProtection="0"/>
    <xf numFmtId="0" fontId="121" fillId="30" borderId="0" applyNumberFormat="0" applyBorder="0" applyAlignment="0" applyProtection="0"/>
    <xf numFmtId="0" fontId="12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3" fillId="0" borderId="10" applyNumberFormat="0" applyFill="0" applyAlignment="0" applyProtection="0"/>
    <xf numFmtId="0" fontId="12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34" fillId="32" borderId="0" applyBorder="0">
      <alignment horizontal="right"/>
      <protection/>
    </xf>
    <xf numFmtId="4" fontId="34" fillId="32" borderId="0" applyFont="0" applyBorder="0">
      <alignment horizontal="right"/>
      <protection/>
    </xf>
    <xf numFmtId="0" fontId="125" fillId="33" borderId="0" applyNumberFormat="0" applyBorder="0" applyAlignment="0" applyProtection="0"/>
  </cellStyleXfs>
  <cellXfs count="728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4" fillId="0" borderId="11" xfId="57" applyFont="1" applyBorder="1" applyAlignment="1">
      <alignment horizontal="left"/>
      <protection/>
    </xf>
    <xf numFmtId="0" fontId="4" fillId="0" borderId="12" xfId="57" applyFont="1" applyBorder="1" applyAlignment="1">
      <alignment horizontal="left"/>
      <protection/>
    </xf>
    <xf numFmtId="49" fontId="4" fillId="0" borderId="13" xfId="57" applyNumberFormat="1" applyFont="1" applyBorder="1" applyAlignment="1">
      <alignment horizontal="center"/>
      <protection/>
    </xf>
    <xf numFmtId="0" fontId="4" fillId="0" borderId="14" xfId="57" applyFont="1" applyBorder="1" applyAlignment="1">
      <alignment horizontal="left" wrapText="1"/>
      <protection/>
    </xf>
    <xf numFmtId="49" fontId="4" fillId="0" borderId="13" xfId="57" applyNumberFormat="1" applyFont="1" applyBorder="1" applyAlignment="1">
      <alignment horizontal="center" vertical="top"/>
      <protection/>
    </xf>
    <xf numFmtId="49" fontId="4" fillId="0" borderId="13" xfId="57" applyNumberFormat="1" applyFont="1" applyFill="1" applyBorder="1" applyAlignment="1">
      <alignment horizontal="center"/>
      <protection/>
    </xf>
    <xf numFmtId="0" fontId="4" fillId="0" borderId="14" xfId="57" applyFont="1" applyBorder="1" applyAlignment="1">
      <alignment horizontal="left" vertical="top" wrapText="1"/>
      <protection/>
    </xf>
    <xf numFmtId="0" fontId="4" fillId="0" borderId="13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 vertical="top" wrapText="1"/>
      <protection/>
    </xf>
    <xf numFmtId="0" fontId="4" fillId="0" borderId="0" xfId="57" applyFont="1" applyAlignment="1">
      <alignment horizontal="right"/>
      <protection/>
    </xf>
    <xf numFmtId="3" fontId="8" fillId="0" borderId="0" xfId="57" applyNumberFormat="1" applyFont="1">
      <alignment/>
      <protection/>
    </xf>
    <xf numFmtId="0" fontId="8" fillId="0" borderId="0" xfId="57" applyFont="1">
      <alignment/>
      <protection/>
    </xf>
    <xf numFmtId="174" fontId="8" fillId="0" borderId="0" xfId="57" applyNumberFormat="1" applyFont="1">
      <alignment/>
      <protection/>
    </xf>
    <xf numFmtId="0" fontId="4" fillId="0" borderId="13" xfId="57" applyFont="1" applyBorder="1" applyAlignment="1">
      <alignment horizontal="center" vertical="top"/>
      <protection/>
    </xf>
    <xf numFmtId="0" fontId="4" fillId="0" borderId="12" xfId="57" applyFont="1" applyBorder="1" applyAlignment="1">
      <alignment horizontal="left" vertical="top"/>
      <protection/>
    </xf>
    <xf numFmtId="49" fontId="4" fillId="0" borderId="13" xfId="57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0" xfId="57" applyFont="1" applyFill="1">
      <alignment/>
      <protection/>
    </xf>
    <xf numFmtId="0" fontId="0" fillId="0" borderId="0" xfId="0" applyAlignment="1">
      <alignment wrapText="1"/>
    </xf>
    <xf numFmtId="0" fontId="13" fillId="0" borderId="0" xfId="57" applyFont="1">
      <alignment/>
      <protection/>
    </xf>
    <xf numFmtId="0" fontId="13" fillId="0" borderId="0" xfId="57" applyFont="1" applyAlignment="1">
      <alignment horizontal="right"/>
      <protection/>
    </xf>
    <xf numFmtId="0" fontId="11" fillId="0" borderId="0" xfId="57" applyFont="1">
      <alignment/>
      <protection/>
    </xf>
    <xf numFmtId="0" fontId="11" fillId="0" borderId="13" xfId="57" applyFont="1" applyBorder="1" applyAlignment="1">
      <alignment horizontal="center"/>
      <protection/>
    </xf>
    <xf numFmtId="49" fontId="11" fillId="0" borderId="13" xfId="57" applyNumberFormat="1" applyFont="1" applyBorder="1" applyAlignment="1">
      <alignment horizontal="center"/>
      <protection/>
    </xf>
    <xf numFmtId="0" fontId="11" fillId="0" borderId="13" xfId="57" applyFont="1" applyBorder="1" applyAlignment="1">
      <alignment horizontal="center" vertical="top" wrapText="1"/>
      <protection/>
    </xf>
    <xf numFmtId="0" fontId="11" fillId="0" borderId="0" xfId="57" applyFont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18" fillId="0" borderId="0" xfId="0" applyFont="1" applyFill="1" applyBorder="1" applyAlignment="1">
      <alignment/>
    </xf>
    <xf numFmtId="3" fontId="22" fillId="34" borderId="0" xfId="0" applyNumberFormat="1" applyFont="1" applyFill="1" applyAlignment="1">
      <alignment/>
    </xf>
    <xf numFmtId="175" fontId="23" fillId="34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2" fillId="34" borderId="0" xfId="0" applyNumberFormat="1" applyFont="1" applyFill="1" applyAlignment="1">
      <alignment/>
    </xf>
    <xf numFmtId="0" fontId="0" fillId="35" borderId="13" xfId="0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3" fontId="21" fillId="36" borderId="0" xfId="0" applyNumberFormat="1" applyFont="1" applyFill="1" applyAlignment="1">
      <alignment/>
    </xf>
    <xf numFmtId="4" fontId="21" fillId="36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9" fillId="35" borderId="0" xfId="0" applyFont="1" applyFill="1" applyAlignment="1">
      <alignment/>
    </xf>
    <xf numFmtId="0" fontId="0" fillId="35" borderId="13" xfId="0" applyFill="1" applyBorder="1" applyAlignment="1">
      <alignment/>
    </xf>
    <xf numFmtId="0" fontId="20" fillId="35" borderId="13" xfId="0" applyFont="1" applyFill="1" applyBorder="1" applyAlignment="1">
      <alignment wrapText="1"/>
    </xf>
    <xf numFmtId="187" fontId="27" fillId="35" borderId="13" xfId="0" applyNumberFormat="1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/>
    </xf>
    <xf numFmtId="0" fontId="0" fillId="37" borderId="15" xfId="0" applyFill="1" applyBorder="1" applyAlignment="1">
      <alignment wrapText="1"/>
    </xf>
    <xf numFmtId="0" fontId="0" fillId="37" borderId="0" xfId="0" applyFill="1" applyAlignment="1">
      <alignment/>
    </xf>
    <xf numFmtId="0" fontId="10" fillId="0" borderId="0" xfId="62" applyFill="1">
      <alignment/>
      <protection/>
    </xf>
    <xf numFmtId="0" fontId="14" fillId="0" borderId="0" xfId="57" applyFont="1" applyAlignment="1">
      <alignment horizontal="center"/>
      <protection/>
    </xf>
    <xf numFmtId="0" fontId="11" fillId="0" borderId="13" xfId="57" applyNumberFormat="1" applyFont="1" applyBorder="1" applyAlignment="1">
      <alignment horizontal="center"/>
      <protection/>
    </xf>
    <xf numFmtId="179" fontId="11" fillId="0" borderId="13" xfId="57" applyNumberFormat="1" applyFont="1" applyBorder="1" applyAlignment="1">
      <alignment horizontal="center"/>
      <protection/>
    </xf>
    <xf numFmtId="0" fontId="11" fillId="0" borderId="13" xfId="57" applyFont="1" applyBorder="1" applyAlignment="1">
      <alignment horizontal="center" wrapText="1"/>
      <protection/>
    </xf>
    <xf numFmtId="49" fontId="11" fillId="0" borderId="13" xfId="57" applyNumberFormat="1" applyFont="1" applyBorder="1" applyAlignment="1">
      <alignment horizontal="center" wrapText="1"/>
      <protection/>
    </xf>
    <xf numFmtId="0" fontId="11" fillId="0" borderId="13" xfId="57" applyFont="1" applyBorder="1" applyAlignment="1">
      <alignment horizontal="center" vertical="center"/>
      <protection/>
    </xf>
    <xf numFmtId="49" fontId="11" fillId="0" borderId="13" xfId="57" applyNumberFormat="1" applyFont="1" applyBorder="1" applyAlignment="1">
      <alignment horizontal="center" vertical="center" wrapText="1"/>
      <protection/>
    </xf>
    <xf numFmtId="49" fontId="11" fillId="0" borderId="13" xfId="57" applyNumberFormat="1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7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20" xfId="57" applyFont="1" applyBorder="1" applyAlignment="1">
      <alignment horizontal="center"/>
      <protection/>
    </xf>
    <xf numFmtId="0" fontId="4" fillId="0" borderId="12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vertical="center"/>
      <protection/>
    </xf>
    <xf numFmtId="49" fontId="4" fillId="0" borderId="11" xfId="57" applyNumberFormat="1" applyFont="1" applyBorder="1" applyAlignment="1">
      <alignment horizontal="left"/>
      <protection/>
    </xf>
    <xf numFmtId="16" fontId="4" fillId="0" borderId="11" xfId="57" applyNumberFormat="1" applyFont="1" applyBorder="1" applyAlignment="1">
      <alignment horizontal="left"/>
      <protection/>
    </xf>
    <xf numFmtId="3" fontId="18" fillId="0" borderId="0" xfId="0" applyNumberFormat="1" applyFont="1" applyAlignment="1">
      <alignment/>
    </xf>
    <xf numFmtId="0" fontId="0" fillId="38" borderId="0" xfId="0" applyFill="1" applyAlignment="1">
      <alignment/>
    </xf>
    <xf numFmtId="3" fontId="20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172" fontId="23" fillId="34" borderId="0" xfId="0" applyNumberFormat="1" applyFont="1" applyFill="1" applyAlignment="1">
      <alignment/>
    </xf>
    <xf numFmtId="4" fontId="0" fillId="0" borderId="0" xfId="0" applyNumberFormat="1" applyAlignment="1">
      <alignment/>
    </xf>
    <xf numFmtId="3" fontId="31" fillId="0" borderId="0" xfId="0" applyNumberFormat="1" applyFont="1" applyFill="1" applyAlignment="1">
      <alignment/>
    </xf>
    <xf numFmtId="3" fontId="31" fillId="0" borderId="0" xfId="0" applyNumberFormat="1" applyFont="1" applyAlignment="1">
      <alignment/>
    </xf>
    <xf numFmtId="0" fontId="2" fillId="39" borderId="0" xfId="0" applyFont="1" applyFill="1" applyAlignment="1">
      <alignment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0" fontId="23" fillId="37" borderId="0" xfId="0" applyFont="1" applyFill="1" applyAlignment="1">
      <alignment/>
    </xf>
    <xf numFmtId="0" fontId="11" fillId="0" borderId="0" xfId="57" applyFont="1" applyFill="1">
      <alignment/>
      <protection/>
    </xf>
    <xf numFmtId="0" fontId="4" fillId="0" borderId="13" xfId="57" applyFont="1" applyFill="1" applyBorder="1" applyAlignment="1">
      <alignment horizontal="center" vertical="top" wrapText="1"/>
      <protection/>
    </xf>
    <xf numFmtId="0" fontId="1" fillId="0" borderId="0" xfId="64">
      <alignment/>
      <protection/>
    </xf>
    <xf numFmtId="0" fontId="19" fillId="0" borderId="0" xfId="64" applyFont="1">
      <alignment/>
      <protection/>
    </xf>
    <xf numFmtId="49" fontId="40" fillId="0" borderId="21" xfId="51" applyNumberFormat="1" applyFont="1" applyBorder="1" applyAlignment="1" applyProtection="1">
      <alignment horizontal="center" vertical="center" wrapText="1"/>
      <protection/>
    </xf>
    <xf numFmtId="0" fontId="34" fillId="0" borderId="22" xfId="61" applyFont="1" applyBorder="1" applyAlignment="1" applyProtection="1">
      <alignment horizontal="center" vertical="center" wrapText="1"/>
      <protection/>
    </xf>
    <xf numFmtId="0" fontId="34" fillId="0" borderId="22" xfId="61" applyFont="1" applyFill="1" applyBorder="1" applyAlignment="1" applyProtection="1">
      <alignment horizontal="center" vertical="center" wrapText="1"/>
      <protection/>
    </xf>
    <xf numFmtId="0" fontId="41" fillId="0" borderId="13" xfId="51" applyFont="1" applyBorder="1" applyAlignment="1" applyProtection="1">
      <alignment horizontal="center" vertical="center" wrapText="1"/>
      <protection/>
    </xf>
    <xf numFmtId="49" fontId="40" fillId="0" borderId="13" xfId="46" applyNumberFormat="1" applyFont="1" applyBorder="1" applyAlignment="1" applyProtection="1">
      <alignment horizontal="left" vertical="center" wrapText="1"/>
      <protection/>
    </xf>
    <xf numFmtId="0" fontId="40" fillId="0" borderId="13" xfId="61" applyFont="1" applyFill="1" applyBorder="1" applyAlignment="1" applyProtection="1">
      <alignment horizontal="center" vertical="center"/>
      <protection/>
    </xf>
    <xf numFmtId="4" fontId="34" fillId="0" borderId="13" xfId="72" applyNumberFormat="1" applyFont="1" applyFill="1" applyBorder="1" applyAlignment="1" applyProtection="1">
      <alignment horizontal="right" vertical="center"/>
      <protection locked="0"/>
    </xf>
    <xf numFmtId="4" fontId="34" fillId="0" borderId="13" xfId="61" applyNumberFormat="1" applyFont="1" applyFill="1" applyBorder="1" applyAlignment="1" applyProtection="1">
      <alignment horizontal="right" vertical="center"/>
      <protection locked="0"/>
    </xf>
    <xf numFmtId="0" fontId="40" fillId="0" borderId="13" xfId="61" applyFont="1" applyBorder="1" applyAlignment="1" applyProtection="1">
      <alignment horizontal="left" vertical="center"/>
      <protection/>
    </xf>
    <xf numFmtId="0" fontId="40" fillId="0" borderId="13" xfId="61" applyFont="1" applyBorder="1" applyAlignment="1" applyProtection="1">
      <alignment horizontal="center" vertical="center" wrapText="1"/>
      <protection/>
    </xf>
    <xf numFmtId="0" fontId="40" fillId="0" borderId="23" xfId="61" applyFont="1" applyBorder="1" applyAlignment="1" applyProtection="1">
      <alignment horizontal="left" vertical="center"/>
      <protection/>
    </xf>
    <xf numFmtId="0" fontId="40" fillId="0" borderId="23" xfId="61" applyFont="1" applyBorder="1" applyAlignment="1" applyProtection="1">
      <alignment horizontal="center" vertical="center" wrapText="1"/>
      <protection/>
    </xf>
    <xf numFmtId="0" fontId="34" fillId="40" borderId="0" xfId="61" applyFont="1" applyFill="1" applyBorder="1" applyAlignment="1" applyProtection="1">
      <alignment vertical="center"/>
      <protection/>
    </xf>
    <xf numFmtId="0" fontId="40" fillId="40" borderId="0" xfId="61" applyFont="1" applyFill="1" applyBorder="1" applyAlignment="1" applyProtection="1">
      <alignment vertical="center"/>
      <protection/>
    </xf>
    <xf numFmtId="49" fontId="34" fillId="0" borderId="24" xfId="61" applyNumberFormat="1" applyFont="1" applyFill="1" applyBorder="1" applyAlignment="1" applyProtection="1">
      <alignment horizontal="center" vertical="center"/>
      <protection/>
    </xf>
    <xf numFmtId="0" fontId="40" fillId="0" borderId="13" xfId="61" applyFont="1" applyFill="1" applyBorder="1" applyAlignment="1" applyProtection="1">
      <alignment vertical="center" wrapText="1"/>
      <protection/>
    </xf>
    <xf numFmtId="0" fontId="40" fillId="0" borderId="13" xfId="61" applyFont="1" applyFill="1" applyBorder="1" applyAlignment="1" applyProtection="1">
      <alignment horizontal="center" vertical="center" wrapText="1"/>
      <protection/>
    </xf>
    <xf numFmtId="0" fontId="40" fillId="0" borderId="13" xfId="61" applyFont="1" applyFill="1" applyBorder="1" applyAlignment="1" applyProtection="1">
      <alignment horizontal="left" vertical="center" wrapText="1" indent="1"/>
      <protection/>
    </xf>
    <xf numFmtId="0" fontId="40" fillId="0" borderId="13" xfId="61" applyFont="1" applyFill="1" applyBorder="1" applyAlignment="1" applyProtection="1">
      <alignment horizontal="left" vertical="center" indent="1"/>
      <protection/>
    </xf>
    <xf numFmtId="0" fontId="1" fillId="0" borderId="0" xfId="64" applyFill="1">
      <alignment/>
      <protection/>
    </xf>
    <xf numFmtId="0" fontId="34" fillId="0" borderId="13" xfId="61" applyFont="1" applyFill="1" applyBorder="1" applyAlignment="1" applyProtection="1">
      <alignment horizontal="left" vertical="center" wrapText="1" indent="1"/>
      <protection/>
    </xf>
    <xf numFmtId="0" fontId="34" fillId="0" borderId="13" xfId="61" applyFont="1" applyFill="1" applyBorder="1" applyAlignment="1" applyProtection="1">
      <alignment horizontal="center" vertical="center" wrapText="1"/>
      <protection/>
    </xf>
    <xf numFmtId="0" fontId="43" fillId="0" borderId="13" xfId="61" applyFont="1" applyFill="1" applyBorder="1" applyAlignment="1" applyProtection="1">
      <alignment horizontal="left" vertical="center" wrapText="1" indent="2"/>
      <protection/>
    </xf>
    <xf numFmtId="0" fontId="42" fillId="0" borderId="13" xfId="61" applyFont="1" applyFill="1" applyBorder="1" applyAlignment="1" applyProtection="1">
      <alignment horizontal="left" vertical="center" wrapText="1"/>
      <protection/>
    </xf>
    <xf numFmtId="0" fontId="42" fillId="0" borderId="13" xfId="61" applyFont="1" applyFill="1" applyBorder="1" applyAlignment="1" applyProtection="1">
      <alignment horizontal="center" vertical="center" wrapText="1"/>
      <protection/>
    </xf>
    <xf numFmtId="0" fontId="40" fillId="0" borderId="13" xfId="61" applyFont="1" applyBorder="1" applyAlignment="1" applyProtection="1">
      <alignment horizontal="left" vertical="center" wrapText="1" indent="1"/>
      <protection/>
    </xf>
    <xf numFmtId="49" fontId="44" fillId="0" borderId="25" xfId="61" applyNumberFormat="1" applyFont="1" applyFill="1" applyBorder="1" applyAlignment="1" applyProtection="1">
      <alignment horizontal="center" vertical="center"/>
      <protection/>
    </xf>
    <xf numFmtId="0" fontId="42" fillId="0" borderId="23" xfId="61" applyFont="1" applyFill="1" applyBorder="1" applyAlignment="1" applyProtection="1">
      <alignment vertical="center" wrapText="1"/>
      <protection/>
    </xf>
    <xf numFmtId="0" fontId="42" fillId="0" borderId="23" xfId="61" applyFont="1" applyFill="1" applyBorder="1" applyAlignment="1" applyProtection="1">
      <alignment horizontal="center" vertical="center" wrapText="1"/>
      <protection/>
    </xf>
    <xf numFmtId="4" fontId="35" fillId="0" borderId="26" xfId="79" applyNumberFormat="1" applyFont="1" applyFill="1" applyBorder="1" applyAlignment="1" applyProtection="1">
      <alignment horizontal="right" vertical="center"/>
      <protection/>
    </xf>
    <xf numFmtId="172" fontId="34" fillId="40" borderId="0" xfId="61" applyNumberFormat="1" applyFont="1" applyFill="1" applyBorder="1" applyAlignment="1" applyProtection="1">
      <alignment vertical="center"/>
      <protection/>
    </xf>
    <xf numFmtId="0" fontId="40" fillId="0" borderId="13" xfId="51" applyFont="1" applyFill="1" applyBorder="1" applyAlignment="1" applyProtection="1">
      <alignment horizontal="left" vertical="center" wrapText="1"/>
      <protection/>
    </xf>
    <xf numFmtId="0" fontId="40" fillId="0" borderId="13" xfId="51" applyFont="1" applyFill="1" applyBorder="1" applyAlignment="1" applyProtection="1">
      <alignment horizontal="center" vertical="center" wrapText="1"/>
      <protection/>
    </xf>
    <xf numFmtId="0" fontId="43" fillId="0" borderId="13" xfId="61" applyFont="1" applyFill="1" applyBorder="1" applyAlignment="1" applyProtection="1">
      <alignment horizontal="left" vertical="center" wrapText="1" indent="1"/>
      <protection/>
    </xf>
    <xf numFmtId="0" fontId="46" fillId="0" borderId="13" xfId="61" applyFont="1" applyFill="1" applyBorder="1" applyAlignment="1" applyProtection="1">
      <alignment horizontal="left" vertical="center" wrapText="1" indent="1"/>
      <protection/>
    </xf>
    <xf numFmtId="0" fontId="34" fillId="0" borderId="13" xfId="51" applyFont="1" applyFill="1" applyBorder="1" applyAlignment="1" applyProtection="1">
      <alignment horizontal="left" vertical="center" wrapText="1" indent="1"/>
      <protection/>
    </xf>
    <xf numFmtId="0" fontId="40" fillId="0" borderId="13" xfId="51" applyFont="1" applyFill="1" applyBorder="1" applyAlignment="1" applyProtection="1">
      <alignment horizontal="left" vertical="center" wrapText="1" indent="1"/>
      <protection/>
    </xf>
    <xf numFmtId="49" fontId="42" fillId="0" borderId="25" xfId="61" applyNumberFormat="1" applyFont="1" applyFill="1" applyBorder="1" applyAlignment="1" applyProtection="1">
      <alignment horizontal="center" vertical="center"/>
      <protection/>
    </xf>
    <xf numFmtId="197" fontId="34" fillId="40" borderId="0" xfId="78" applyNumberFormat="1" applyFont="1" applyFill="1" applyBorder="1" applyAlignment="1" applyProtection="1">
      <alignment vertical="center"/>
      <protection/>
    </xf>
    <xf numFmtId="0" fontId="34" fillId="40" borderId="0" xfId="65" applyNumberFormat="1" applyFont="1" applyFill="1" applyBorder="1" applyAlignment="1" applyProtection="1">
      <alignment horizontal="left" vertical="center" wrapText="1"/>
      <protection/>
    </xf>
    <xf numFmtId="0" fontId="42" fillId="0" borderId="13" xfId="60" applyFont="1" applyFill="1" applyBorder="1" applyAlignment="1" applyProtection="1">
      <alignment horizontal="center" vertical="center" wrapText="1"/>
      <protection/>
    </xf>
    <xf numFmtId="4" fontId="34" fillId="0" borderId="11" xfId="61" applyNumberFormat="1" applyFont="1" applyFill="1" applyBorder="1" applyAlignment="1" applyProtection="1">
      <alignment vertical="center"/>
      <protection/>
    </xf>
    <xf numFmtId="4" fontId="1" fillId="0" borderId="0" xfId="64" applyNumberFormat="1">
      <alignment/>
      <protection/>
    </xf>
    <xf numFmtId="49" fontId="35" fillId="0" borderId="24" xfId="61" applyNumberFormat="1" applyFont="1" applyFill="1" applyBorder="1" applyAlignment="1" applyProtection="1">
      <alignment horizontal="center" vertical="center"/>
      <protection/>
    </xf>
    <xf numFmtId="49" fontId="34" fillId="0" borderId="24" xfId="51" applyNumberFormat="1" applyFont="1" applyFill="1" applyBorder="1" applyAlignment="1" applyProtection="1">
      <alignment horizontal="center" vertical="center" wrapText="1"/>
      <protection/>
    </xf>
    <xf numFmtId="0" fontId="40" fillId="0" borderId="13" xfId="61" applyFont="1" applyFill="1" applyBorder="1" applyAlignment="1" applyProtection="1">
      <alignment horizontal="left" vertical="center" wrapText="1"/>
      <protection/>
    </xf>
    <xf numFmtId="0" fontId="34" fillId="0" borderId="0" xfId="61" applyFont="1" applyFill="1" applyBorder="1" applyAlignment="1" applyProtection="1">
      <alignment vertical="center"/>
      <protection/>
    </xf>
    <xf numFmtId="0" fontId="41" fillId="0" borderId="13" xfId="51" applyFont="1" applyFill="1" applyBorder="1" applyAlignment="1" applyProtection="1">
      <alignment horizontal="center" vertical="center" wrapText="1"/>
      <protection/>
    </xf>
    <xf numFmtId="49" fontId="6" fillId="32" borderId="13" xfId="57" applyNumberFormat="1" applyFont="1" applyFill="1" applyBorder="1" applyAlignment="1">
      <alignment horizontal="center" vertical="top"/>
      <protection/>
    </xf>
    <xf numFmtId="0" fontId="6" fillId="32" borderId="12" xfId="57" applyFont="1" applyFill="1" applyBorder="1" applyAlignment="1">
      <alignment horizontal="left"/>
      <protection/>
    </xf>
    <xf numFmtId="0" fontId="6" fillId="32" borderId="14" xfId="57" applyFont="1" applyFill="1" applyBorder="1" applyAlignment="1">
      <alignment horizontal="left" wrapText="1"/>
      <protection/>
    </xf>
    <xf numFmtId="0" fontId="6" fillId="32" borderId="13" xfId="57" applyFont="1" applyFill="1" applyBorder="1" applyAlignment="1">
      <alignment horizontal="center"/>
      <protection/>
    </xf>
    <xf numFmtId="0" fontId="6" fillId="0" borderId="0" xfId="57" applyFont="1">
      <alignment/>
      <protection/>
    </xf>
    <xf numFmtId="0" fontId="15" fillId="0" borderId="0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center" wrapText="1"/>
      <protection/>
    </xf>
    <xf numFmtId="49" fontId="15" fillId="0" borderId="0" xfId="57" applyNumberFormat="1" applyFont="1" applyBorder="1" applyAlignment="1">
      <alignment horizontal="center"/>
      <protection/>
    </xf>
    <xf numFmtId="0" fontId="15" fillId="0" borderId="0" xfId="57" applyNumberFormat="1" applyFont="1" applyBorder="1" applyAlignment="1">
      <alignment horizontal="center"/>
      <protection/>
    </xf>
    <xf numFmtId="0" fontId="15" fillId="0" borderId="0" xfId="57" applyFont="1" applyBorder="1" applyAlignment="1">
      <alignment horizontal="center"/>
      <protection/>
    </xf>
    <xf numFmtId="0" fontId="1" fillId="0" borderId="0" xfId="64" applyFill="1" applyAlignment="1">
      <alignment wrapText="1"/>
      <protection/>
    </xf>
    <xf numFmtId="49" fontId="40" fillId="0" borderId="21" xfId="51" applyNumberFormat="1" applyFont="1" applyFill="1" applyBorder="1" applyAlignment="1" applyProtection="1">
      <alignment horizontal="center" vertical="center" wrapText="1"/>
      <protection/>
    </xf>
    <xf numFmtId="0" fontId="41" fillId="0" borderId="24" xfId="51" applyFont="1" applyFill="1" applyBorder="1" applyAlignment="1" applyProtection="1">
      <alignment horizontal="center" vertical="center" wrapText="1"/>
      <protection/>
    </xf>
    <xf numFmtId="49" fontId="34" fillId="0" borderId="25" xfId="61" applyNumberFormat="1" applyFont="1" applyFill="1" applyBorder="1" applyAlignment="1" applyProtection="1">
      <alignment horizontal="center" vertical="center"/>
      <protection/>
    </xf>
    <xf numFmtId="0" fontId="40" fillId="0" borderId="0" xfId="61" applyFont="1" applyFill="1" applyBorder="1" applyAlignment="1" applyProtection="1">
      <alignment vertical="center"/>
      <protection/>
    </xf>
    <xf numFmtId="0" fontId="35" fillId="0" borderId="0" xfId="61" applyFont="1" applyFill="1" applyBorder="1" applyAlignment="1" applyProtection="1">
      <alignment vertical="center"/>
      <protection/>
    </xf>
    <xf numFmtId="0" fontId="34" fillId="0" borderId="0" xfId="65" applyNumberFormat="1" applyFont="1" applyFill="1" applyBorder="1" applyAlignment="1" applyProtection="1">
      <alignment horizontal="left" vertical="center" wrapText="1"/>
      <protection/>
    </xf>
    <xf numFmtId="49" fontId="35" fillId="0" borderId="24" xfId="60" applyNumberFormat="1" applyFont="1" applyFill="1" applyBorder="1" applyAlignment="1" applyProtection="1">
      <alignment horizontal="center" vertical="center"/>
      <protection/>
    </xf>
    <xf numFmtId="4" fontId="34" fillId="36" borderId="13" xfId="79" applyNumberFormat="1" applyFont="1" applyFill="1" applyBorder="1" applyAlignment="1" applyProtection="1">
      <alignment horizontal="right" vertical="center"/>
      <protection/>
    </xf>
    <xf numFmtId="49" fontId="35" fillId="36" borderId="27" xfId="60" applyNumberFormat="1" applyFont="1" applyFill="1" applyBorder="1" applyAlignment="1" applyProtection="1">
      <alignment horizontal="center" vertical="center"/>
      <protection/>
    </xf>
    <xf numFmtId="0" fontId="42" fillId="36" borderId="16" xfId="60" applyFont="1" applyFill="1" applyBorder="1" applyAlignment="1" applyProtection="1">
      <alignment vertical="center" wrapText="1"/>
      <protection/>
    </xf>
    <xf numFmtId="0" fontId="34" fillId="32" borderId="13" xfId="51" applyFont="1" applyFill="1" applyBorder="1" applyAlignment="1" applyProtection="1">
      <alignment horizontal="left" vertical="center" wrapText="1"/>
      <protection/>
    </xf>
    <xf numFmtId="0" fontId="34" fillId="32" borderId="13" xfId="51" applyFont="1" applyFill="1" applyBorder="1" applyAlignment="1" applyProtection="1">
      <alignment horizontal="center" vertical="center" wrapText="1"/>
      <protection/>
    </xf>
    <xf numFmtId="0" fontId="0" fillId="0" borderId="0" xfId="59" applyAlignment="1">
      <alignment wrapText="1"/>
      <protection/>
    </xf>
    <xf numFmtId="0" fontId="0" fillId="0" borderId="0" xfId="59">
      <alignment/>
      <protection/>
    </xf>
    <xf numFmtId="0" fontId="0" fillId="35" borderId="0" xfId="59" applyFill="1">
      <alignment/>
      <protection/>
    </xf>
    <xf numFmtId="3" fontId="22" fillId="34" borderId="0" xfId="59" applyNumberFormat="1" applyFont="1" applyFill="1">
      <alignment/>
      <protection/>
    </xf>
    <xf numFmtId="175" fontId="23" fillId="34" borderId="0" xfId="59" applyNumberFormat="1" applyFont="1" applyFill="1">
      <alignment/>
      <protection/>
    </xf>
    <xf numFmtId="3" fontId="2" fillId="34" borderId="0" xfId="59" applyNumberFormat="1" applyFont="1" applyFill="1">
      <alignment/>
      <protection/>
    </xf>
    <xf numFmtId="3" fontId="18" fillId="0" borderId="0" xfId="59" applyNumberFormat="1" applyFont="1">
      <alignment/>
      <protection/>
    </xf>
    <xf numFmtId="3" fontId="0" fillId="0" borderId="0" xfId="59" applyNumberFormat="1">
      <alignment/>
      <protection/>
    </xf>
    <xf numFmtId="3" fontId="52" fillId="0" borderId="0" xfId="59" applyNumberFormat="1" applyFont="1">
      <alignment/>
      <protection/>
    </xf>
    <xf numFmtId="3" fontId="52" fillId="0" borderId="0" xfId="59" applyNumberFormat="1" applyFont="1" applyFill="1">
      <alignment/>
      <protection/>
    </xf>
    <xf numFmtId="3" fontId="0" fillId="0" borderId="0" xfId="59" applyNumberFormat="1" applyFill="1">
      <alignment/>
      <protection/>
    </xf>
    <xf numFmtId="3" fontId="31" fillId="0" borderId="0" xfId="59" applyNumberFormat="1" applyFont="1" applyFill="1">
      <alignment/>
      <protection/>
    </xf>
    <xf numFmtId="3" fontId="31" fillId="0" borderId="0" xfId="59" applyNumberFormat="1" applyFont="1">
      <alignment/>
      <protection/>
    </xf>
    <xf numFmtId="3" fontId="18" fillId="34" borderId="0" xfId="59" applyNumberFormat="1" applyFont="1" applyFill="1">
      <alignment/>
      <protection/>
    </xf>
    <xf numFmtId="172" fontId="23" fillId="34" borderId="0" xfId="59" applyNumberFormat="1" applyFont="1" applyFill="1">
      <alignment/>
      <protection/>
    </xf>
    <xf numFmtId="3" fontId="21" fillId="36" borderId="0" xfId="59" applyNumberFormat="1" applyFont="1" applyFill="1">
      <alignment/>
      <protection/>
    </xf>
    <xf numFmtId="4" fontId="21" fillId="36" borderId="0" xfId="59" applyNumberFormat="1" applyFont="1" applyFill="1">
      <alignment/>
      <protection/>
    </xf>
    <xf numFmtId="3" fontId="18" fillId="36" borderId="0" xfId="59" applyNumberFormat="1" applyFont="1" applyFill="1">
      <alignment/>
      <protection/>
    </xf>
    <xf numFmtId="3" fontId="24" fillId="0" borderId="0" xfId="59" applyNumberFormat="1" applyFont="1">
      <alignment/>
      <protection/>
    </xf>
    <xf numFmtId="3" fontId="20" fillId="0" borderId="0" xfId="59" applyNumberFormat="1" applyFont="1">
      <alignment/>
      <protection/>
    </xf>
    <xf numFmtId="3" fontId="53" fillId="0" borderId="0" xfId="59" applyNumberFormat="1" applyFont="1">
      <alignment/>
      <protection/>
    </xf>
    <xf numFmtId="3" fontId="53" fillId="0" borderId="0" xfId="59" applyNumberFormat="1" applyFont="1" applyFill="1">
      <alignment/>
      <protection/>
    </xf>
    <xf numFmtId="4" fontId="23" fillId="0" borderId="0" xfId="59" applyNumberFormat="1" applyFont="1">
      <alignment/>
      <protection/>
    </xf>
    <xf numFmtId="0" fontId="20" fillId="35" borderId="0" xfId="59" applyFont="1" applyFill="1">
      <alignment/>
      <protection/>
    </xf>
    <xf numFmtId="0" fontId="0" fillId="38" borderId="0" xfId="59" applyFill="1">
      <alignment/>
      <protection/>
    </xf>
    <xf numFmtId="0" fontId="0" fillId="0" borderId="0" xfId="59" applyAlignment="1">
      <alignment horizontal="center" vertical="center" wrapText="1"/>
      <protection/>
    </xf>
    <xf numFmtId="0" fontId="23" fillId="39" borderId="0" xfId="59" applyFont="1" applyFill="1">
      <alignment/>
      <protection/>
    </xf>
    <xf numFmtId="3" fontId="23" fillId="39" borderId="0" xfId="59" applyNumberFormat="1" applyFont="1" applyFill="1">
      <alignment/>
      <protection/>
    </xf>
    <xf numFmtId="49" fontId="45" fillId="0" borderId="24" xfId="51" applyNumberFormat="1" applyFont="1" applyFill="1" applyBorder="1" applyAlignment="1" applyProtection="1">
      <alignment horizontal="center" vertical="center" wrapText="1"/>
      <protection/>
    </xf>
    <xf numFmtId="0" fontId="0" fillId="32" borderId="0" xfId="59" applyFill="1">
      <alignment/>
      <protection/>
    </xf>
    <xf numFmtId="0" fontId="18" fillId="35" borderId="13" xfId="0" applyFont="1" applyFill="1" applyBorder="1" applyAlignment="1">
      <alignment horizontal="center" vertical="center" wrapText="1"/>
    </xf>
    <xf numFmtId="187" fontId="33" fillId="35" borderId="13" xfId="0" applyNumberFormat="1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/>
    </xf>
    <xf numFmtId="0" fontId="0" fillId="41" borderId="0" xfId="0" applyFill="1" applyAlignment="1">
      <alignment/>
    </xf>
    <xf numFmtId="0" fontId="20" fillId="41" borderId="0" xfId="0" applyFont="1" applyFill="1" applyAlignment="1">
      <alignment/>
    </xf>
    <xf numFmtId="3" fontId="18" fillId="0" borderId="0" xfId="59" applyNumberFormat="1" applyFont="1" applyFill="1">
      <alignment/>
      <protection/>
    </xf>
    <xf numFmtId="3" fontId="24" fillId="0" borderId="0" xfId="59" applyNumberFormat="1" applyFont="1" applyFill="1">
      <alignment/>
      <protection/>
    </xf>
    <xf numFmtId="0" fontId="22" fillId="0" borderId="0" xfId="0" applyFont="1" applyFill="1" applyAlignment="1">
      <alignment/>
    </xf>
    <xf numFmtId="3" fontId="22" fillId="0" borderId="0" xfId="59" applyNumberFormat="1" applyFont="1" applyFill="1">
      <alignment/>
      <protection/>
    </xf>
    <xf numFmtId="49" fontId="34" fillId="0" borderId="27" xfId="61" applyNumberFormat="1" applyFont="1" applyFill="1" applyBorder="1" applyAlignment="1" applyProtection="1">
      <alignment horizontal="center" vertical="center"/>
      <protection/>
    </xf>
    <xf numFmtId="0" fontId="1" fillId="0" borderId="13" xfId="64" applyFont="1" applyFill="1" applyBorder="1">
      <alignment/>
      <protection/>
    </xf>
    <xf numFmtId="3" fontId="18" fillId="34" borderId="0" xfId="62" applyNumberFormat="1" applyFont="1" applyFill="1">
      <alignment/>
      <protection/>
    </xf>
    <xf numFmtId="0" fontId="2" fillId="39" borderId="0" xfId="62" applyFont="1" applyFill="1">
      <alignment/>
      <protection/>
    </xf>
    <xf numFmtId="0" fontId="10" fillId="35" borderId="0" xfId="62" applyFill="1">
      <alignment/>
      <protection/>
    </xf>
    <xf numFmtId="0" fontId="18" fillId="35" borderId="13" xfId="62" applyFont="1" applyFill="1" applyBorder="1" applyAlignment="1">
      <alignment horizontal="center" vertical="center" wrapText="1"/>
      <protection/>
    </xf>
    <xf numFmtId="187" fontId="33" fillId="35" borderId="13" xfId="62" applyNumberFormat="1" applyFont="1" applyFill="1" applyBorder="1" applyAlignment="1">
      <alignment horizontal="center" vertical="center"/>
      <protection/>
    </xf>
    <xf numFmtId="0" fontId="30" fillId="35" borderId="13" xfId="62" applyFont="1" applyFill="1" applyBorder="1">
      <alignment/>
      <protection/>
    </xf>
    <xf numFmtId="0" fontId="23" fillId="0" borderId="0" xfId="62" applyFont="1" applyFill="1">
      <alignment/>
      <protection/>
    </xf>
    <xf numFmtId="0" fontId="29" fillId="37" borderId="0" xfId="62" applyFont="1" applyFill="1">
      <alignment/>
      <protection/>
    </xf>
    <xf numFmtId="0" fontId="29" fillId="0" borderId="0" xfId="62" applyFont="1" applyFill="1">
      <alignment/>
      <protection/>
    </xf>
    <xf numFmtId="0" fontId="56" fillId="0" borderId="0" xfId="61" applyFont="1" applyFill="1" applyAlignment="1" applyProtection="1">
      <alignment vertical="center"/>
      <protection/>
    </xf>
    <xf numFmtId="0" fontId="56" fillId="0" borderId="0" xfId="61" applyFont="1" applyAlignment="1" applyProtection="1">
      <alignment vertical="center"/>
      <protection/>
    </xf>
    <xf numFmtId="4" fontId="56" fillId="0" borderId="0" xfId="61" applyNumberFormat="1" applyFont="1" applyAlignment="1" applyProtection="1">
      <alignment vertical="center"/>
      <protection/>
    </xf>
    <xf numFmtId="0" fontId="21" fillId="39" borderId="0" xfId="59" applyFont="1" applyFill="1">
      <alignment/>
      <protection/>
    </xf>
    <xf numFmtId="0" fontId="57" fillId="39" borderId="0" xfId="59" applyFont="1" applyFill="1">
      <alignment/>
      <protection/>
    </xf>
    <xf numFmtId="3" fontId="57" fillId="39" borderId="0" xfId="59" applyNumberFormat="1" applyFont="1" applyFill="1">
      <alignment/>
      <protection/>
    </xf>
    <xf numFmtId="0" fontId="57" fillId="0" borderId="0" xfId="59" applyFont="1">
      <alignment/>
      <protection/>
    </xf>
    <xf numFmtId="4" fontId="18" fillId="36" borderId="0" xfId="59" applyNumberFormat="1" applyFont="1" applyFill="1">
      <alignment/>
      <protection/>
    </xf>
    <xf numFmtId="4" fontId="21" fillId="42" borderId="0" xfId="59" applyNumberFormat="1" applyFont="1" applyFill="1">
      <alignment/>
      <protection/>
    </xf>
    <xf numFmtId="4" fontId="18" fillId="42" borderId="0" xfId="59" applyNumberFormat="1" applyFont="1" applyFill="1">
      <alignment/>
      <protection/>
    </xf>
    <xf numFmtId="3" fontId="0" fillId="32" borderId="0" xfId="59" applyNumberFormat="1" applyFill="1">
      <alignment/>
      <protection/>
    </xf>
    <xf numFmtId="3" fontId="53" fillId="32" borderId="0" xfId="59" applyNumberFormat="1" applyFont="1" applyFill="1">
      <alignment/>
      <protection/>
    </xf>
    <xf numFmtId="3" fontId="18" fillId="32" borderId="0" xfId="59" applyNumberFormat="1" applyFont="1" applyFill="1">
      <alignment/>
      <protection/>
    </xf>
    <xf numFmtId="3" fontId="24" fillId="32" borderId="0" xfId="59" applyNumberFormat="1" applyFont="1" applyFill="1">
      <alignment/>
      <protection/>
    </xf>
    <xf numFmtId="0" fontId="58" fillId="32" borderId="0" xfId="59" applyFont="1" applyFill="1">
      <alignment/>
      <protection/>
    </xf>
    <xf numFmtId="0" fontId="34" fillId="0" borderId="28" xfId="61" applyFont="1" applyFill="1" applyBorder="1" applyAlignment="1" applyProtection="1">
      <alignment horizontal="center" vertical="center" wrapText="1"/>
      <protection/>
    </xf>
    <xf numFmtId="0" fontId="35" fillId="43" borderId="29" xfId="61" applyFont="1" applyFill="1" applyBorder="1" applyAlignment="1" applyProtection="1">
      <alignment vertical="center"/>
      <protection/>
    </xf>
    <xf numFmtId="0" fontId="2" fillId="0" borderId="0" xfId="59" applyFont="1" applyAlignment="1">
      <alignment wrapText="1"/>
      <protection/>
    </xf>
    <xf numFmtId="0" fontId="2" fillId="0" borderId="0" xfId="59" applyFont="1">
      <alignment/>
      <protection/>
    </xf>
    <xf numFmtId="3" fontId="2" fillId="0" borderId="0" xfId="59" applyNumberFormat="1" applyFont="1" applyFill="1">
      <alignment/>
      <protection/>
    </xf>
    <xf numFmtId="3" fontId="2" fillId="0" borderId="0" xfId="59" applyNumberFormat="1" applyFont="1">
      <alignment/>
      <protection/>
    </xf>
    <xf numFmtId="3" fontId="2" fillId="0" borderId="0" xfId="59" applyNumberFormat="1" applyFont="1">
      <alignment/>
      <protection/>
    </xf>
    <xf numFmtId="3" fontId="55" fillId="0" borderId="0" xfId="59" applyNumberFormat="1" applyFont="1" applyFill="1">
      <alignment/>
      <protection/>
    </xf>
    <xf numFmtId="3" fontId="55" fillId="0" borderId="0" xfId="59" applyNumberFormat="1" applyFont="1">
      <alignment/>
      <protection/>
    </xf>
    <xf numFmtId="0" fontId="1" fillId="38" borderId="0" xfId="59" applyFont="1" applyFill="1">
      <alignment/>
      <protection/>
    </xf>
    <xf numFmtId="0" fontId="18" fillId="38" borderId="0" xfId="59" applyFont="1" applyFill="1">
      <alignment/>
      <protection/>
    </xf>
    <xf numFmtId="0" fontId="18" fillId="0" borderId="0" xfId="59" applyFont="1" applyAlignment="1">
      <alignment wrapText="1"/>
      <protection/>
    </xf>
    <xf numFmtId="0" fontId="18" fillId="0" borderId="0" xfId="59" applyFont="1">
      <alignment/>
      <protection/>
    </xf>
    <xf numFmtId="0" fontId="1" fillId="35" borderId="0" xfId="59" applyFont="1" applyFill="1">
      <alignment/>
      <protection/>
    </xf>
    <xf numFmtId="0" fontId="20" fillId="0" borderId="0" xfId="0" applyFont="1" applyAlignment="1">
      <alignment/>
    </xf>
    <xf numFmtId="4" fontId="50" fillId="39" borderId="30" xfId="0" applyNumberFormat="1" applyFont="1" applyFill="1" applyBorder="1" applyAlignment="1">
      <alignment horizontal="right" vertical="top" wrapText="1"/>
    </xf>
    <xf numFmtId="0" fontId="50" fillId="39" borderId="30" xfId="0" applyNumberFormat="1" applyFont="1" applyFill="1" applyBorder="1" applyAlignment="1">
      <alignment horizontal="right" vertical="top" wrapText="1"/>
    </xf>
    <xf numFmtId="0" fontId="50" fillId="39" borderId="31" xfId="0" applyNumberFormat="1" applyFont="1" applyFill="1" applyBorder="1" applyAlignment="1">
      <alignment horizontal="right" vertical="top" wrapText="1"/>
    </xf>
    <xf numFmtId="0" fontId="50" fillId="39" borderId="32" xfId="0" applyNumberFormat="1" applyFont="1" applyFill="1" applyBorder="1" applyAlignment="1">
      <alignment horizontal="right" vertical="top" wrapText="1"/>
    </xf>
    <xf numFmtId="0" fontId="25" fillId="0" borderId="30" xfId="0" applyNumberFormat="1" applyFont="1" applyBorder="1" applyAlignment="1">
      <alignment horizontal="right" vertical="top" wrapText="1"/>
    </xf>
    <xf numFmtId="0" fontId="25" fillId="0" borderId="32" xfId="0" applyNumberFormat="1" applyFont="1" applyBorder="1" applyAlignment="1">
      <alignment horizontal="right" vertical="top" wrapText="1"/>
    </xf>
    <xf numFmtId="0" fontId="25" fillId="0" borderId="31" xfId="0" applyNumberFormat="1" applyFont="1" applyBorder="1" applyAlignment="1">
      <alignment horizontal="right" vertical="top" wrapText="1"/>
    </xf>
    <xf numFmtId="0" fontId="42" fillId="0" borderId="13" xfId="61" applyFont="1" applyFill="1" applyBorder="1" applyAlignment="1" applyProtection="1">
      <alignment vertical="center" wrapText="1"/>
      <protection/>
    </xf>
    <xf numFmtId="171" fontId="35" fillId="43" borderId="29" xfId="65" applyNumberFormat="1" applyFont="1" applyFill="1" applyBorder="1" applyAlignment="1" applyProtection="1">
      <alignment vertical="center" wrapText="1"/>
      <protection/>
    </xf>
    <xf numFmtId="197" fontId="35" fillId="43" borderId="29" xfId="65" applyNumberFormat="1" applyFont="1" applyFill="1" applyBorder="1" applyAlignment="1" applyProtection="1">
      <alignment vertical="center" wrapText="1"/>
      <protection/>
    </xf>
    <xf numFmtId="0" fontId="42" fillId="36" borderId="13" xfId="60" applyFont="1" applyFill="1" applyBorder="1" applyAlignment="1" applyProtection="1">
      <alignment horizontal="center" vertical="center" wrapText="1"/>
      <protection/>
    </xf>
    <xf numFmtId="4" fontId="35" fillId="36" borderId="33" xfId="61" applyNumberFormat="1" applyFont="1" applyFill="1" applyBorder="1" applyAlignment="1" applyProtection="1">
      <alignment vertical="center"/>
      <protection/>
    </xf>
    <xf numFmtId="4" fontId="35" fillId="36" borderId="26" xfId="61" applyNumberFormat="1" applyFont="1" applyFill="1" applyBorder="1" applyAlignment="1" applyProtection="1">
      <alignment vertical="center"/>
      <protection/>
    </xf>
    <xf numFmtId="49" fontId="35" fillId="36" borderId="25" xfId="61" applyNumberFormat="1" applyFont="1" applyFill="1" applyBorder="1" applyAlignment="1" applyProtection="1">
      <alignment horizontal="center" vertical="center"/>
      <protection/>
    </xf>
    <xf numFmtId="0" fontId="35" fillId="36" borderId="23" xfId="61" applyFont="1" applyFill="1" applyBorder="1" applyAlignment="1" applyProtection="1">
      <alignment vertical="center"/>
      <protection/>
    </xf>
    <xf numFmtId="0" fontId="42" fillId="36" borderId="23" xfId="6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51" fillId="36" borderId="0" xfId="0" applyFont="1" applyFill="1" applyAlignment="1">
      <alignment/>
    </xf>
    <xf numFmtId="3" fontId="2" fillId="36" borderId="0" xfId="59" applyNumberFormat="1" applyFont="1" applyFill="1">
      <alignment/>
      <protection/>
    </xf>
    <xf numFmtId="0" fontId="1" fillId="0" borderId="0" xfId="62" applyFont="1" applyFill="1">
      <alignment/>
      <protection/>
    </xf>
    <xf numFmtId="0" fontId="10" fillId="38" borderId="0" xfId="62" applyFill="1">
      <alignment/>
      <protection/>
    </xf>
    <xf numFmtId="1" fontId="2" fillId="38" borderId="0" xfId="62" applyNumberFormat="1" applyFont="1" applyFill="1">
      <alignment/>
      <protection/>
    </xf>
    <xf numFmtId="0" fontId="2" fillId="38" borderId="0" xfId="62" applyFont="1" applyFill="1">
      <alignment/>
      <protection/>
    </xf>
    <xf numFmtId="175" fontId="2" fillId="38" borderId="0" xfId="62" applyNumberFormat="1" applyFont="1" applyFill="1">
      <alignment/>
      <protection/>
    </xf>
    <xf numFmtId="0" fontId="59" fillId="38" borderId="0" xfId="62" applyFont="1" applyFill="1">
      <alignment/>
      <protection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10" fillId="0" borderId="0" xfId="62" applyFont="1" applyFill="1">
      <alignment/>
      <protection/>
    </xf>
    <xf numFmtId="1" fontId="2" fillId="0" borderId="0" xfId="62" applyNumberFormat="1" applyFont="1" applyFill="1">
      <alignment/>
      <protection/>
    </xf>
    <xf numFmtId="0" fontId="2" fillId="0" borderId="0" xfId="62" applyFont="1" applyFill="1">
      <alignment/>
      <protection/>
    </xf>
    <xf numFmtId="0" fontId="20" fillId="0" borderId="0" xfId="0" applyFont="1" applyFill="1" applyAlignment="1">
      <alignment/>
    </xf>
    <xf numFmtId="0" fontId="116" fillId="4" borderId="0" xfId="0" applyFont="1" applyFill="1" applyAlignment="1">
      <alignment/>
    </xf>
    <xf numFmtId="198" fontId="2" fillId="38" borderId="0" xfId="62" applyNumberFormat="1" applyFont="1" applyFill="1">
      <alignment/>
      <protection/>
    </xf>
    <xf numFmtId="0" fontId="0" fillId="35" borderId="0" xfId="59" applyFont="1" applyFill="1">
      <alignment/>
      <protection/>
    </xf>
    <xf numFmtId="0" fontId="0" fillId="3" borderId="0" xfId="0" applyFill="1" applyAlignment="1">
      <alignment/>
    </xf>
    <xf numFmtId="0" fontId="116" fillId="3" borderId="0" xfId="0" applyFont="1" applyFill="1" applyAlignment="1">
      <alignment/>
    </xf>
    <xf numFmtId="0" fontId="126" fillId="44" borderId="0" xfId="59" applyFont="1" applyFill="1">
      <alignment/>
      <protection/>
    </xf>
    <xf numFmtId="0" fontId="127" fillId="44" borderId="0" xfId="59" applyFont="1" applyFill="1">
      <alignment/>
      <protection/>
    </xf>
    <xf numFmtId="3" fontId="128" fillId="0" borderId="0" xfId="59" applyNumberFormat="1" applyFont="1">
      <alignment/>
      <protection/>
    </xf>
    <xf numFmtId="3" fontId="129" fillId="0" borderId="0" xfId="59" applyNumberFormat="1" applyFont="1">
      <alignment/>
      <protection/>
    </xf>
    <xf numFmtId="183" fontId="129" fillId="0" borderId="0" xfId="59" applyNumberFormat="1" applyFont="1">
      <alignment/>
      <protection/>
    </xf>
    <xf numFmtId="4" fontId="18" fillId="0" borderId="0" xfId="59" applyNumberFormat="1" applyFont="1" applyFill="1">
      <alignment/>
      <protection/>
    </xf>
    <xf numFmtId="183" fontId="21" fillId="36" borderId="0" xfId="59" applyNumberFormat="1" applyFont="1" applyFill="1">
      <alignment/>
      <protection/>
    </xf>
    <xf numFmtId="0" fontId="116" fillId="35" borderId="0" xfId="0" applyFont="1" applyFill="1" applyAlignment="1">
      <alignment/>
    </xf>
    <xf numFmtId="182" fontId="0" fillId="0" borderId="0" xfId="0" applyNumberFormat="1" applyAlignment="1">
      <alignment wrapText="1"/>
    </xf>
    <xf numFmtId="182" fontId="116" fillId="0" borderId="0" xfId="0" applyNumberFormat="1" applyFont="1" applyAlignment="1">
      <alignment wrapText="1"/>
    </xf>
    <xf numFmtId="0" fontId="130" fillId="0" borderId="0" xfId="57" applyFont="1">
      <alignment/>
      <protection/>
    </xf>
    <xf numFmtId="0" fontId="131" fillId="0" borderId="0" xfId="57" applyFont="1">
      <alignment/>
      <protection/>
    </xf>
    <xf numFmtId="0" fontId="132" fillId="0" borderId="0" xfId="57" applyFont="1" applyAlignment="1">
      <alignment horizontal="center"/>
      <protection/>
    </xf>
    <xf numFmtId="0" fontId="133" fillId="0" borderId="14" xfId="57" applyFont="1" applyBorder="1" applyAlignment="1">
      <alignment horizontal="center"/>
      <protection/>
    </xf>
    <xf numFmtId="0" fontId="134" fillId="0" borderId="0" xfId="57" applyFont="1">
      <alignment/>
      <protection/>
    </xf>
    <xf numFmtId="0" fontId="133" fillId="0" borderId="0" xfId="57" applyFont="1" applyAlignment="1">
      <alignment horizontal="right"/>
      <protection/>
    </xf>
    <xf numFmtId="198" fontId="55" fillId="0" borderId="0" xfId="62" applyNumberFormat="1" applyFont="1" applyFill="1">
      <alignment/>
      <protection/>
    </xf>
    <xf numFmtId="0" fontId="2" fillId="38" borderId="0" xfId="62" applyFont="1" applyFill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0" fontId="18" fillId="39" borderId="0" xfId="59" applyFont="1" applyFill="1">
      <alignment/>
      <protection/>
    </xf>
    <xf numFmtId="3" fontId="18" fillId="39" borderId="0" xfId="59" applyNumberFormat="1" applyFont="1" applyFill="1">
      <alignment/>
      <protection/>
    </xf>
    <xf numFmtId="3" fontId="124" fillId="34" borderId="0" xfId="59" applyNumberFormat="1" applyFont="1" applyFill="1">
      <alignment/>
      <protection/>
    </xf>
    <xf numFmtId="172" fontId="124" fillId="34" borderId="0" xfId="59" applyNumberFormat="1" applyFont="1" applyFill="1">
      <alignment/>
      <protection/>
    </xf>
    <xf numFmtId="0" fontId="124" fillId="39" borderId="0" xfId="59" applyFont="1" applyFill="1">
      <alignment/>
      <protection/>
    </xf>
    <xf numFmtId="3" fontId="124" fillId="39" borderId="0" xfId="59" applyNumberFormat="1" applyFont="1" applyFill="1">
      <alignment/>
      <protection/>
    </xf>
    <xf numFmtId="0" fontId="135" fillId="35" borderId="0" xfId="59" applyFont="1" applyFill="1">
      <alignment/>
      <protection/>
    </xf>
    <xf numFmtId="0" fontId="0" fillId="6" borderId="0" xfId="0" applyFill="1" applyAlignment="1">
      <alignment/>
    </xf>
    <xf numFmtId="187" fontId="0" fillId="6" borderId="0" xfId="0" applyNumberFormat="1" applyFill="1" applyAlignment="1">
      <alignment/>
    </xf>
    <xf numFmtId="187" fontId="124" fillId="6" borderId="0" xfId="0" applyNumberFormat="1" applyFont="1" applyFill="1" applyAlignment="1">
      <alignment/>
    </xf>
    <xf numFmtId="3" fontId="136" fillId="0" borderId="0" xfId="59" applyNumberFormat="1" applyFont="1" applyFill="1">
      <alignment/>
      <protection/>
    </xf>
    <xf numFmtId="0" fontId="128" fillId="35" borderId="0" xfId="0" applyFont="1" applyFill="1" applyAlignment="1">
      <alignment/>
    </xf>
    <xf numFmtId="0" fontId="23" fillId="44" borderId="0" xfId="59" applyFont="1" applyFill="1">
      <alignment/>
      <protection/>
    </xf>
    <xf numFmtId="0" fontId="124" fillId="44" borderId="0" xfId="59" applyFont="1" applyFill="1">
      <alignment/>
      <protection/>
    </xf>
    <xf numFmtId="0" fontId="128" fillId="44" borderId="0" xfId="59" applyFont="1" applyFill="1">
      <alignment/>
      <protection/>
    </xf>
    <xf numFmtId="3" fontId="128" fillId="44" borderId="0" xfId="59" applyNumberFormat="1" applyFont="1" applyFill="1">
      <alignment/>
      <protection/>
    </xf>
    <xf numFmtId="0" fontId="2" fillId="44" borderId="0" xfId="59" applyFont="1" applyFill="1">
      <alignment/>
      <protection/>
    </xf>
    <xf numFmtId="0" fontId="55" fillId="3" borderId="0" xfId="62" applyFont="1" applyFill="1">
      <alignment/>
      <protection/>
    </xf>
    <xf numFmtId="0" fontId="137" fillId="0" borderId="13" xfId="57" applyFont="1" applyBorder="1" applyAlignment="1">
      <alignment horizontal="center"/>
      <protection/>
    </xf>
    <xf numFmtId="4" fontId="137" fillId="0" borderId="13" xfId="57" applyNumberFormat="1" applyFont="1" applyBorder="1" applyAlignment="1">
      <alignment horizontal="center"/>
      <protection/>
    </xf>
    <xf numFmtId="0" fontId="137" fillId="0" borderId="13" xfId="57" applyFont="1" applyFill="1" applyBorder="1" applyAlignment="1">
      <alignment horizontal="center"/>
      <protection/>
    </xf>
    <xf numFmtId="3" fontId="137" fillId="0" borderId="13" xfId="57" applyNumberFormat="1" applyFont="1" applyFill="1" applyBorder="1" applyAlignment="1">
      <alignment horizontal="center" vertical="center"/>
      <protection/>
    </xf>
    <xf numFmtId="0" fontId="138" fillId="0" borderId="0" xfId="57" applyFont="1" applyBorder="1" applyAlignment="1">
      <alignment horizontal="center"/>
      <protection/>
    </xf>
    <xf numFmtId="0" fontId="139" fillId="0" borderId="0" xfId="57" applyFont="1">
      <alignment/>
      <protection/>
    </xf>
    <xf numFmtId="175" fontId="0" fillId="0" borderId="0" xfId="0" applyNumberFormat="1" applyAlignment="1">
      <alignment/>
    </xf>
    <xf numFmtId="4" fontId="18" fillId="10" borderId="0" xfId="59" applyNumberFormat="1" applyFont="1" applyFill="1">
      <alignment/>
      <protection/>
    </xf>
    <xf numFmtId="0" fontId="0" fillId="10" borderId="0" xfId="59" applyFill="1">
      <alignment/>
      <protection/>
    </xf>
    <xf numFmtId="0" fontId="13" fillId="0" borderId="0" xfId="57" applyFont="1" applyFill="1">
      <alignment/>
      <protection/>
    </xf>
    <xf numFmtId="197" fontId="140" fillId="40" borderId="0" xfId="78" applyNumberFormat="1" applyFont="1" applyFill="1" applyBorder="1" applyAlignment="1" applyProtection="1">
      <alignment vertical="center"/>
      <protection/>
    </xf>
    <xf numFmtId="0" fontId="1" fillId="0" borderId="0" xfId="64" applyFill="1" applyBorder="1">
      <alignment/>
      <protection/>
    </xf>
    <xf numFmtId="0" fontId="1" fillId="0" borderId="0" xfId="64" applyBorder="1">
      <alignment/>
      <protection/>
    </xf>
    <xf numFmtId="178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9" fontId="141" fillId="0" borderId="0" xfId="0" applyNumberFormat="1" applyFont="1" applyFill="1" applyAlignment="1">
      <alignment wrapText="1"/>
    </xf>
    <xf numFmtId="0" fontId="142" fillId="0" borderId="0" xfId="0" applyFont="1" applyFill="1" applyAlignment="1">
      <alignment/>
    </xf>
    <xf numFmtId="182" fontId="142" fillId="0" borderId="0" xfId="0" applyNumberFormat="1" applyFont="1" applyFill="1" applyAlignment="1">
      <alignment wrapText="1"/>
    </xf>
    <xf numFmtId="182" fontId="0" fillId="0" borderId="0" xfId="0" applyNumberFormat="1" applyFill="1" applyAlignment="1">
      <alignment wrapText="1"/>
    </xf>
    <xf numFmtId="182" fontId="141" fillId="0" borderId="0" xfId="0" applyNumberFormat="1" applyFont="1" applyFill="1" applyAlignment="1">
      <alignment wrapText="1"/>
    </xf>
    <xf numFmtId="0" fontId="142" fillId="0" borderId="0" xfId="0" applyFont="1" applyFill="1" applyAlignment="1">
      <alignment wrapText="1"/>
    </xf>
    <xf numFmtId="182" fontId="143" fillId="0" borderId="0" xfId="0" applyNumberFormat="1" applyFont="1" applyFill="1" applyAlignment="1">
      <alignment wrapText="1"/>
    </xf>
    <xf numFmtId="182" fontId="116" fillId="0" borderId="0" xfId="0" applyNumberFormat="1" applyFont="1" applyFill="1" applyAlignment="1">
      <alignment wrapText="1"/>
    </xf>
    <xf numFmtId="182" fontId="144" fillId="0" borderId="0" xfId="0" applyNumberFormat="1" applyFont="1" applyFill="1" applyAlignment="1">
      <alignment wrapText="1"/>
    </xf>
    <xf numFmtId="182" fontId="143" fillId="0" borderId="0" xfId="0" applyNumberFormat="1" applyFont="1" applyFill="1" applyAlignment="1">
      <alignment/>
    </xf>
    <xf numFmtId="3" fontId="0" fillId="45" borderId="0" xfId="59" applyNumberFormat="1" applyFill="1">
      <alignment/>
      <protection/>
    </xf>
    <xf numFmtId="1" fontId="0" fillId="45" borderId="0" xfId="59" applyNumberFormat="1" applyFill="1">
      <alignment/>
      <protection/>
    </xf>
    <xf numFmtId="1" fontId="141" fillId="0" borderId="0" xfId="0" applyNumberFormat="1" applyFont="1" applyFill="1" applyAlignment="1">
      <alignment wrapText="1"/>
    </xf>
    <xf numFmtId="3" fontId="4" fillId="0" borderId="13" xfId="57" applyNumberFormat="1" applyFont="1" applyFill="1" applyBorder="1" applyAlignment="1">
      <alignment horizontal="center" vertical="center"/>
      <protection/>
    </xf>
    <xf numFmtId="0" fontId="145" fillId="0" borderId="13" xfId="57" applyFont="1" applyBorder="1" applyAlignment="1">
      <alignment horizontal="center"/>
      <protection/>
    </xf>
    <xf numFmtId="49" fontId="35" fillId="0" borderId="27" xfId="60" applyNumberFormat="1" applyFont="1" applyFill="1" applyBorder="1" applyAlignment="1" applyProtection="1">
      <alignment horizontal="center" vertical="center"/>
      <protection/>
    </xf>
    <xf numFmtId="0" fontId="42" fillId="0" borderId="16" xfId="60" applyFont="1" applyFill="1" applyBorder="1" applyAlignment="1" applyProtection="1">
      <alignment vertical="center" wrapText="1"/>
      <protection/>
    </xf>
    <xf numFmtId="0" fontId="40" fillId="0" borderId="13" xfId="60" applyFont="1" applyFill="1" applyBorder="1" applyAlignment="1" applyProtection="1">
      <alignment vertical="center" wrapText="1"/>
      <protection/>
    </xf>
    <xf numFmtId="0" fontId="40" fillId="0" borderId="13" xfId="60" applyFont="1" applyFill="1" applyBorder="1" applyAlignment="1" applyProtection="1">
      <alignment horizontal="center" vertical="center" wrapText="1"/>
      <protection/>
    </xf>
    <xf numFmtId="0" fontId="40" fillId="0" borderId="16" xfId="60" applyFont="1" applyFill="1" applyBorder="1" applyAlignment="1" applyProtection="1">
      <alignment vertical="center" wrapText="1"/>
      <protection/>
    </xf>
    <xf numFmtId="0" fontId="0" fillId="0" borderId="0" xfId="63">
      <alignment/>
      <protection/>
    </xf>
    <xf numFmtId="0" fontId="116" fillId="0" borderId="0" xfId="63" applyFont="1">
      <alignment/>
      <protection/>
    </xf>
    <xf numFmtId="0" fontId="146" fillId="0" borderId="0" xfId="63" applyFont="1">
      <alignment/>
      <protection/>
    </xf>
    <xf numFmtId="0" fontId="0" fillId="0" borderId="0" xfId="0" applyAlignment="1">
      <alignment horizontal="left"/>
    </xf>
    <xf numFmtId="0" fontId="0" fillId="3" borderId="0" xfId="63" applyFill="1">
      <alignment/>
      <protection/>
    </xf>
    <xf numFmtId="1" fontId="0" fillId="0" borderId="0" xfId="63" applyNumberFormat="1">
      <alignment/>
      <protection/>
    </xf>
    <xf numFmtId="1" fontId="147" fillId="0" borderId="0" xfId="63" applyNumberFormat="1" applyFont="1" applyFill="1">
      <alignment/>
      <protection/>
    </xf>
    <xf numFmtId="0" fontId="10" fillId="0" borderId="0" xfId="0" applyNumberFormat="1" applyFont="1" applyAlignment="1">
      <alignment horizontal="left" vertical="top" wrapText="1"/>
    </xf>
    <xf numFmtId="4" fontId="26" fillId="46" borderId="30" xfId="0" applyNumberFormat="1" applyFont="1" applyFill="1" applyBorder="1" applyAlignment="1">
      <alignment horizontal="right" vertical="top" wrapText="1"/>
    </xf>
    <xf numFmtId="0" fontId="26" fillId="46" borderId="31" xfId="0" applyNumberFormat="1" applyFont="1" applyFill="1" applyBorder="1" applyAlignment="1">
      <alignment horizontal="right" vertical="top" wrapText="1"/>
    </xf>
    <xf numFmtId="0" fontId="26" fillId="46" borderId="34" xfId="0" applyNumberFormat="1" applyFont="1" applyFill="1" applyBorder="1" applyAlignment="1">
      <alignment horizontal="right" vertical="top" wrapText="1"/>
    </xf>
    <xf numFmtId="0" fontId="26" fillId="46" borderId="32" xfId="0" applyNumberFormat="1" applyFont="1" applyFill="1" applyBorder="1" applyAlignment="1">
      <alignment horizontal="right" vertical="top" wrapText="1"/>
    </xf>
    <xf numFmtId="0" fontId="50" fillId="39" borderId="34" xfId="0" applyNumberFormat="1" applyFont="1" applyFill="1" applyBorder="1" applyAlignment="1">
      <alignment horizontal="right" vertical="top" wrapText="1"/>
    </xf>
    <xf numFmtId="0" fontId="25" fillId="39" borderId="30" xfId="0" applyNumberFormat="1" applyFont="1" applyFill="1" applyBorder="1" applyAlignment="1">
      <alignment horizontal="right" vertical="top" wrapText="1"/>
    </xf>
    <xf numFmtId="0" fontId="25" fillId="39" borderId="31" xfId="0" applyNumberFormat="1" applyFont="1" applyFill="1" applyBorder="1" applyAlignment="1">
      <alignment horizontal="right" vertical="top" wrapText="1"/>
    </xf>
    <xf numFmtId="0" fontId="25" fillId="39" borderId="34" xfId="0" applyNumberFormat="1" applyFont="1" applyFill="1" applyBorder="1" applyAlignment="1">
      <alignment horizontal="right" vertical="top" wrapText="1"/>
    </xf>
    <xf numFmtId="0" fontId="25" fillId="39" borderId="32" xfId="0" applyNumberFormat="1" applyFont="1" applyFill="1" applyBorder="1" applyAlignment="1">
      <alignment horizontal="right" vertical="top" wrapText="1"/>
    </xf>
    <xf numFmtId="4" fontId="25" fillId="39" borderId="30" xfId="0" applyNumberFormat="1" applyFont="1" applyFill="1" applyBorder="1" applyAlignment="1">
      <alignment horizontal="right" vertical="top" wrapText="1"/>
    </xf>
    <xf numFmtId="0" fontId="25" fillId="0" borderId="34" xfId="0" applyNumberFormat="1" applyFont="1" applyBorder="1" applyAlignment="1">
      <alignment horizontal="right" vertical="top" wrapText="1"/>
    </xf>
    <xf numFmtId="4" fontId="25" fillId="0" borderId="30" xfId="0" applyNumberFormat="1" applyFont="1" applyBorder="1" applyAlignment="1">
      <alignment horizontal="right" vertical="top" wrapText="1"/>
    </xf>
    <xf numFmtId="4" fontId="36" fillId="47" borderId="35" xfId="0" applyNumberFormat="1" applyFont="1" applyFill="1" applyBorder="1" applyAlignment="1">
      <alignment horizontal="right" vertical="top" wrapText="1"/>
    </xf>
    <xf numFmtId="0" fontId="36" fillId="47" borderId="36" xfId="0" applyNumberFormat="1" applyFont="1" applyFill="1" applyBorder="1" applyAlignment="1">
      <alignment horizontal="right" vertical="top" wrapText="1"/>
    </xf>
    <xf numFmtId="0" fontId="36" fillId="47" borderId="37" xfId="0" applyNumberFormat="1" applyFont="1" applyFill="1" applyBorder="1" applyAlignment="1">
      <alignment horizontal="right" vertical="top" wrapText="1"/>
    </xf>
    <xf numFmtId="0" fontId="36" fillId="47" borderId="38" xfId="0" applyNumberFormat="1" applyFont="1" applyFill="1" applyBorder="1" applyAlignment="1">
      <alignment horizontal="right" vertical="top" wrapText="1"/>
    </xf>
    <xf numFmtId="0" fontId="26" fillId="46" borderId="30" xfId="0" applyNumberFormat="1" applyFont="1" applyFill="1" applyBorder="1" applyAlignment="1">
      <alignment horizontal="right" vertical="top" wrapText="1"/>
    </xf>
    <xf numFmtId="0" fontId="36" fillId="47" borderId="35" xfId="0" applyNumberFormat="1" applyFont="1" applyFill="1" applyBorder="1" applyAlignment="1">
      <alignment horizontal="right" vertical="top" wrapText="1"/>
    </xf>
    <xf numFmtId="1" fontId="116" fillId="45" borderId="0" xfId="63" applyNumberFormat="1" applyFont="1" applyFill="1">
      <alignment/>
      <protection/>
    </xf>
    <xf numFmtId="0" fontId="116" fillId="48" borderId="0" xfId="63" applyFont="1" applyFill="1">
      <alignment/>
      <protection/>
    </xf>
    <xf numFmtId="0" fontId="0" fillId="48" borderId="0" xfId="63" applyFill="1">
      <alignment/>
      <protection/>
    </xf>
    <xf numFmtId="1" fontId="0" fillId="48" borderId="0" xfId="63" applyNumberFormat="1" applyFill="1">
      <alignment/>
      <protection/>
    </xf>
    <xf numFmtId="1" fontId="116" fillId="48" borderId="0" xfId="63" applyNumberFormat="1" applyFont="1" applyFill="1">
      <alignment/>
      <protection/>
    </xf>
    <xf numFmtId="1" fontId="124" fillId="45" borderId="0" xfId="63" applyNumberFormat="1" applyFont="1" applyFill="1">
      <alignment/>
      <protection/>
    </xf>
    <xf numFmtId="0" fontId="0" fillId="9" borderId="0" xfId="63" applyFill="1">
      <alignment/>
      <protection/>
    </xf>
    <xf numFmtId="0" fontId="0" fillId="0" borderId="0" xfId="63" applyFont="1">
      <alignment/>
      <protection/>
    </xf>
    <xf numFmtId="0" fontId="0" fillId="0" borderId="0" xfId="63" applyFont="1">
      <alignment/>
      <protection/>
    </xf>
    <xf numFmtId="187" fontId="60" fillId="35" borderId="13" xfId="0" applyNumberFormat="1" applyFont="1" applyFill="1" applyBorder="1" applyAlignment="1">
      <alignment/>
    </xf>
    <xf numFmtId="187" fontId="61" fillId="35" borderId="13" xfId="62" applyNumberFormat="1" applyFont="1" applyFill="1" applyBorder="1">
      <alignment/>
      <protection/>
    </xf>
    <xf numFmtId="187" fontId="148" fillId="5" borderId="13" xfId="62" applyNumberFormat="1" applyFont="1" applyFill="1" applyBorder="1" applyAlignment="1">
      <alignment horizontal="center" vertical="center"/>
      <protection/>
    </xf>
    <xf numFmtId="0" fontId="149" fillId="0" borderId="0" xfId="62" applyFont="1" applyFill="1" applyBorder="1" applyAlignment="1">
      <alignment horizontal="center" vertical="center" wrapText="1"/>
      <protection/>
    </xf>
    <xf numFmtId="198" fontId="150" fillId="0" borderId="0" xfId="62" applyNumberFormat="1" applyFont="1" applyFill="1">
      <alignment/>
      <protection/>
    </xf>
    <xf numFmtId="0" fontId="2" fillId="45" borderId="0" xfId="62" applyFont="1" applyFill="1" applyBorder="1" applyAlignment="1">
      <alignment horizontal="center" vertical="center" wrapText="1"/>
      <protection/>
    </xf>
    <xf numFmtId="0" fontId="50" fillId="47" borderId="35" xfId="0" applyNumberFormat="1" applyFont="1" applyFill="1" applyBorder="1" applyAlignment="1">
      <alignment horizontal="center" vertical="top"/>
    </xf>
    <xf numFmtId="0" fontId="50" fillId="47" borderId="39" xfId="0" applyNumberFormat="1" applyFont="1" applyFill="1" applyBorder="1" applyAlignment="1">
      <alignment horizontal="center" vertical="top"/>
    </xf>
    <xf numFmtId="0" fontId="50" fillId="47" borderId="40" xfId="0" applyNumberFormat="1" applyFont="1" applyFill="1" applyBorder="1" applyAlignment="1">
      <alignment horizontal="center" vertical="top"/>
    </xf>
    <xf numFmtId="0" fontId="50" fillId="47" borderId="41" xfId="0" applyNumberFormat="1" applyFont="1" applyFill="1" applyBorder="1" applyAlignment="1">
      <alignment horizontal="center" vertical="top"/>
    </xf>
    <xf numFmtId="2" fontId="25" fillId="0" borderId="30" xfId="0" applyNumberFormat="1" applyFont="1" applyBorder="1" applyAlignment="1">
      <alignment horizontal="right" vertical="top" wrapText="1"/>
    </xf>
    <xf numFmtId="2" fontId="50" fillId="39" borderId="30" xfId="0" applyNumberFormat="1" applyFont="1" applyFill="1" applyBorder="1" applyAlignment="1">
      <alignment horizontal="right" vertical="top" wrapText="1"/>
    </xf>
    <xf numFmtId="2" fontId="25" fillId="39" borderId="30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1" fillId="0" borderId="0" xfId="57" applyFont="1">
      <alignment/>
      <protection/>
    </xf>
    <xf numFmtId="0" fontId="137" fillId="0" borderId="0" xfId="57" applyFont="1">
      <alignment/>
      <protection/>
    </xf>
    <xf numFmtId="172" fontId="4" fillId="0" borderId="13" xfId="57" applyNumberFormat="1" applyFont="1" applyFill="1" applyBorder="1" applyAlignment="1">
      <alignment horizontal="center"/>
      <protection/>
    </xf>
    <xf numFmtId="0" fontId="137" fillId="0" borderId="13" xfId="57" applyFont="1" applyBorder="1" applyAlignment="1">
      <alignment horizontal="center" vertical="top" wrapText="1"/>
      <protection/>
    </xf>
    <xf numFmtId="0" fontId="151" fillId="0" borderId="13" xfId="57" applyFont="1" applyBorder="1" applyAlignment="1">
      <alignment horizontal="center" vertical="top" wrapText="1"/>
      <protection/>
    </xf>
    <xf numFmtId="0" fontId="151" fillId="0" borderId="13" xfId="57" applyFont="1" applyBorder="1" applyAlignment="1">
      <alignment horizontal="center"/>
      <protection/>
    </xf>
    <xf numFmtId="0" fontId="25" fillId="45" borderId="34" xfId="0" applyNumberFormat="1" applyFont="1" applyFill="1" applyBorder="1" applyAlignment="1">
      <alignment horizontal="right" vertical="top" wrapText="1"/>
    </xf>
    <xf numFmtId="4" fontId="34" fillId="0" borderId="11" xfId="72" applyNumberFormat="1" applyFont="1" applyFill="1" applyBorder="1" applyAlignment="1" applyProtection="1">
      <alignment horizontal="right" vertical="center"/>
      <protection locked="0"/>
    </xf>
    <xf numFmtId="4" fontId="34" fillId="0" borderId="11" xfId="61" applyNumberFormat="1" applyFont="1" applyFill="1" applyBorder="1" applyAlignment="1" applyProtection="1">
      <alignment horizontal="right" vertical="center"/>
      <protection locked="0"/>
    </xf>
    <xf numFmtId="4" fontId="34" fillId="0" borderId="12" xfId="79" applyNumberFormat="1" applyFont="1" applyFill="1" applyBorder="1" applyAlignment="1" applyProtection="1">
      <alignment horizontal="right" vertical="center"/>
      <protection/>
    </xf>
    <xf numFmtId="4" fontId="34" fillId="36" borderId="33" xfId="61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3" fontId="146" fillId="5" borderId="0" xfId="0" applyNumberFormat="1" applyFont="1" applyFill="1" applyAlignment="1">
      <alignment/>
    </xf>
    <xf numFmtId="0" fontId="116" fillId="5" borderId="0" xfId="0" applyFont="1" applyFill="1" applyAlignment="1">
      <alignment/>
    </xf>
    <xf numFmtId="3" fontId="0" fillId="5" borderId="0" xfId="0" applyNumberFormat="1" applyFill="1" applyAlignment="1">
      <alignment/>
    </xf>
    <xf numFmtId="3" fontId="18" fillId="5" borderId="0" xfId="0" applyNumberFormat="1" applyFont="1" applyFill="1" applyAlignment="1">
      <alignment/>
    </xf>
    <xf numFmtId="0" fontId="18" fillId="5" borderId="0" xfId="0" applyFont="1" applyFill="1" applyAlignment="1">
      <alignment/>
    </xf>
    <xf numFmtId="0" fontId="152" fillId="5" borderId="0" xfId="0" applyFont="1" applyFill="1" applyAlignment="1">
      <alignment/>
    </xf>
    <xf numFmtId="0" fontId="153" fillId="0" borderId="0" xfId="61" applyFont="1" applyFill="1" applyBorder="1" applyAlignment="1" applyProtection="1">
      <alignment vertical="center"/>
      <protection/>
    </xf>
    <xf numFmtId="0" fontId="154" fillId="0" borderId="13" xfId="57" applyFont="1" applyBorder="1" applyAlignment="1">
      <alignment horizontal="center" vertical="top" wrapText="1"/>
      <protection/>
    </xf>
    <xf numFmtId="0" fontId="154" fillId="0" borderId="13" xfId="57" applyFont="1" applyBorder="1" applyAlignment="1">
      <alignment horizontal="center"/>
      <protection/>
    </xf>
    <xf numFmtId="4" fontId="34" fillId="0" borderId="13" xfId="61" applyNumberFormat="1" applyFont="1" applyFill="1" applyBorder="1" applyAlignment="1" applyProtection="1">
      <alignment vertical="center"/>
      <protection/>
    </xf>
    <xf numFmtId="179" fontId="4" fillId="0" borderId="13" xfId="57" applyNumberFormat="1" applyFont="1" applyFill="1" applyBorder="1" applyAlignment="1">
      <alignment horizontal="center"/>
      <protection/>
    </xf>
    <xf numFmtId="4" fontId="4" fillId="0" borderId="13" xfId="57" applyNumberFormat="1" applyFont="1" applyBorder="1" applyAlignment="1">
      <alignment horizontal="center"/>
      <protection/>
    </xf>
    <xf numFmtId="4" fontId="4" fillId="0" borderId="13" xfId="57" applyNumberFormat="1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 vertical="top"/>
      <protection/>
    </xf>
    <xf numFmtId="10" fontId="4" fillId="0" borderId="13" xfId="57" applyNumberFormat="1" applyFont="1" applyBorder="1" applyAlignment="1">
      <alignment horizontal="center"/>
      <protection/>
    </xf>
    <xf numFmtId="10" fontId="4" fillId="0" borderId="13" xfId="57" applyNumberFormat="1" applyFont="1" applyFill="1" applyBorder="1" applyAlignment="1">
      <alignment horizontal="center"/>
      <protection/>
    </xf>
    <xf numFmtId="9" fontId="4" fillId="0" borderId="13" xfId="57" applyNumberFormat="1" applyFont="1" applyBorder="1" applyAlignment="1">
      <alignment horizontal="center"/>
      <protection/>
    </xf>
    <xf numFmtId="9" fontId="4" fillId="0" borderId="13" xfId="57" applyNumberFormat="1" applyFont="1" applyFill="1" applyBorder="1" applyAlignment="1">
      <alignment horizontal="center"/>
      <protection/>
    </xf>
    <xf numFmtId="4" fontId="6" fillId="32" borderId="13" xfId="57" applyNumberFormat="1" applyFont="1" applyFill="1" applyBorder="1" applyAlignment="1">
      <alignment horizontal="center" vertical="top"/>
      <protection/>
    </xf>
    <xf numFmtId="183" fontId="6" fillId="32" borderId="13" xfId="57" applyNumberFormat="1" applyFont="1" applyFill="1" applyBorder="1" applyAlignment="1">
      <alignment horizontal="center" vertical="top"/>
      <protection/>
    </xf>
    <xf numFmtId="4" fontId="4" fillId="0" borderId="13" xfId="57" applyNumberFormat="1" applyFont="1" applyBorder="1" applyAlignment="1">
      <alignment horizontal="center" vertical="top"/>
      <protection/>
    </xf>
    <xf numFmtId="3" fontId="4" fillId="0" borderId="13" xfId="57" applyNumberFormat="1" applyFont="1" applyFill="1" applyBorder="1" applyAlignment="1">
      <alignment horizontal="center" vertical="top"/>
      <protection/>
    </xf>
    <xf numFmtId="4" fontId="4" fillId="0" borderId="13" xfId="57" applyNumberFormat="1" applyFont="1" applyFill="1" applyBorder="1" applyAlignment="1">
      <alignment horizontal="center" vertical="top"/>
      <protection/>
    </xf>
    <xf numFmtId="0" fontId="137" fillId="0" borderId="13" xfId="57" applyFont="1" applyFill="1" applyBorder="1" applyAlignment="1">
      <alignment horizontal="center" vertical="top" wrapText="1"/>
      <protection/>
    </xf>
    <xf numFmtId="4" fontId="137" fillId="0" borderId="13" xfId="57" applyNumberFormat="1" applyFont="1" applyFill="1" applyBorder="1" applyAlignment="1">
      <alignment horizontal="center"/>
      <protection/>
    </xf>
    <xf numFmtId="0" fontId="137" fillId="0" borderId="13" xfId="57" applyFont="1" applyFill="1" applyBorder="1" applyAlignment="1">
      <alignment horizontal="center" vertical="top"/>
      <protection/>
    </xf>
    <xf numFmtId="10" fontId="137" fillId="0" borderId="13" xfId="57" applyNumberFormat="1" applyFont="1" applyFill="1" applyBorder="1" applyAlignment="1">
      <alignment horizontal="center"/>
      <protection/>
    </xf>
    <xf numFmtId="9" fontId="137" fillId="0" borderId="13" xfId="57" applyNumberFormat="1" applyFont="1" applyFill="1" applyBorder="1" applyAlignment="1">
      <alignment horizontal="center"/>
      <protection/>
    </xf>
    <xf numFmtId="183" fontId="155" fillId="32" borderId="13" xfId="57" applyNumberFormat="1" applyFont="1" applyFill="1" applyBorder="1" applyAlignment="1">
      <alignment horizontal="center" vertical="top"/>
      <protection/>
    </xf>
    <xf numFmtId="0" fontId="151" fillId="0" borderId="13" xfId="57" applyFont="1" applyFill="1" applyBorder="1" applyAlignment="1">
      <alignment horizontal="center" vertical="top" wrapText="1"/>
      <protection/>
    </xf>
    <xf numFmtId="4" fontId="151" fillId="0" borderId="13" xfId="57" applyNumberFormat="1" applyFont="1" applyFill="1" applyBorder="1" applyAlignment="1">
      <alignment horizontal="center"/>
      <protection/>
    </xf>
    <xf numFmtId="0" fontId="151" fillId="0" borderId="13" xfId="57" applyFont="1" applyFill="1" applyBorder="1" applyAlignment="1">
      <alignment horizontal="center" vertical="top"/>
      <protection/>
    </xf>
    <xf numFmtId="10" fontId="151" fillId="0" borderId="13" xfId="57" applyNumberFormat="1" applyFont="1" applyFill="1" applyBorder="1" applyAlignment="1">
      <alignment horizontal="center"/>
      <protection/>
    </xf>
    <xf numFmtId="9" fontId="151" fillId="0" borderId="13" xfId="57" applyNumberFormat="1" applyFont="1" applyFill="1" applyBorder="1" applyAlignment="1">
      <alignment horizontal="center"/>
      <protection/>
    </xf>
    <xf numFmtId="4" fontId="151" fillId="0" borderId="13" xfId="57" applyNumberFormat="1" applyFont="1" applyBorder="1" applyAlignment="1">
      <alignment horizontal="center"/>
      <protection/>
    </xf>
    <xf numFmtId="0" fontId="151" fillId="0" borderId="13" xfId="57" applyFont="1" applyFill="1" applyBorder="1" applyAlignment="1">
      <alignment horizontal="center"/>
      <protection/>
    </xf>
    <xf numFmtId="183" fontId="156" fillId="32" borderId="13" xfId="57" applyNumberFormat="1" applyFont="1" applyFill="1" applyBorder="1" applyAlignment="1">
      <alignment horizontal="center" vertical="top"/>
      <protection/>
    </xf>
    <xf numFmtId="3" fontId="151" fillId="0" borderId="13" xfId="5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1" fillId="0" borderId="12" xfId="57" applyFont="1" applyBorder="1" applyAlignment="1">
      <alignment horizontal="center"/>
      <protection/>
    </xf>
    <xf numFmtId="0" fontId="157" fillId="0" borderId="13" xfId="57" applyFont="1" applyBorder="1" applyAlignment="1">
      <alignment horizontal="center" vertical="top" wrapText="1"/>
      <protection/>
    </xf>
    <xf numFmtId="0" fontId="157" fillId="0" borderId="13" xfId="57" applyFont="1" applyBorder="1" applyAlignment="1">
      <alignment horizontal="center"/>
      <protection/>
    </xf>
    <xf numFmtId="0" fontId="137" fillId="0" borderId="14" xfId="57" applyFont="1" applyBorder="1" applyAlignment="1">
      <alignment horizontal="center"/>
      <protection/>
    </xf>
    <xf numFmtId="0" fontId="137" fillId="0" borderId="13" xfId="57" applyFont="1" applyFill="1" applyBorder="1" applyAlignment="1">
      <alignment horizontal="center" vertical="center"/>
      <protection/>
    </xf>
    <xf numFmtId="0" fontId="137" fillId="0" borderId="13" xfId="57" applyFont="1" applyBorder="1" applyAlignment="1">
      <alignment horizontal="center" vertical="center"/>
      <protection/>
    </xf>
    <xf numFmtId="0" fontId="151" fillId="0" borderId="14" xfId="57" applyFont="1" applyBorder="1" applyAlignment="1">
      <alignment horizontal="center"/>
      <protection/>
    </xf>
    <xf numFmtId="0" fontId="151" fillId="0" borderId="13" xfId="57" applyFont="1" applyFill="1" applyBorder="1" applyAlignment="1">
      <alignment horizontal="center" vertical="center"/>
      <protection/>
    </xf>
    <xf numFmtId="0" fontId="151" fillId="0" borderId="13" xfId="57" applyFont="1" applyBorder="1" applyAlignment="1">
      <alignment horizontal="center" vertical="center"/>
      <protection/>
    </xf>
    <xf numFmtId="0" fontId="158" fillId="0" borderId="13" xfId="57" applyFont="1" applyBorder="1">
      <alignment/>
      <protection/>
    </xf>
    <xf numFmtId="0" fontId="159" fillId="0" borderId="13" xfId="57" applyFont="1" applyBorder="1">
      <alignment/>
      <protection/>
    </xf>
    <xf numFmtId="0" fontId="156" fillId="0" borderId="0" xfId="57" applyFont="1">
      <alignment/>
      <protection/>
    </xf>
    <xf numFmtId="0" fontId="158" fillId="0" borderId="0" xfId="57" applyFont="1">
      <alignment/>
      <protection/>
    </xf>
    <xf numFmtId="0" fontId="9" fillId="0" borderId="13" xfId="57" applyFont="1" applyBorder="1">
      <alignment/>
      <protection/>
    </xf>
    <xf numFmtId="0" fontId="160" fillId="0" borderId="13" xfId="57" applyFont="1" applyBorder="1">
      <alignment/>
      <protection/>
    </xf>
    <xf numFmtId="0" fontId="161" fillId="0" borderId="13" xfId="57" applyFont="1" applyBorder="1">
      <alignment/>
      <protection/>
    </xf>
    <xf numFmtId="0" fontId="155" fillId="0" borderId="0" xfId="57" applyFont="1">
      <alignment/>
      <protection/>
    </xf>
    <xf numFmtId="0" fontId="11" fillId="0" borderId="12" xfId="57" applyFont="1" applyBorder="1" applyAlignment="1">
      <alignment horizontal="center" vertical="center"/>
      <protection/>
    </xf>
    <xf numFmtId="0" fontId="139" fillId="0" borderId="0" xfId="57" applyFont="1" applyFill="1">
      <alignment/>
      <protection/>
    </xf>
    <xf numFmtId="0" fontId="157" fillId="0" borderId="13" xfId="57" applyFont="1" applyBorder="1" applyAlignment="1">
      <alignment horizontal="center" vertical="center"/>
      <protection/>
    </xf>
    <xf numFmtId="0" fontId="154" fillId="0" borderId="13" xfId="57" applyFont="1" applyBorder="1" applyAlignment="1">
      <alignment horizontal="center" vertical="center"/>
      <protection/>
    </xf>
    <xf numFmtId="0" fontId="154" fillId="0" borderId="13" xfId="57" applyFont="1" applyFill="1" applyBorder="1" applyAlignment="1">
      <alignment horizontal="center" vertical="top" wrapText="1"/>
      <protection/>
    </xf>
    <xf numFmtId="0" fontId="158" fillId="0" borderId="13" xfId="57" applyFont="1" applyFill="1" applyBorder="1">
      <alignment/>
      <protection/>
    </xf>
    <xf numFmtId="0" fontId="159" fillId="0" borderId="0" xfId="57" applyFont="1" applyFill="1">
      <alignment/>
      <protection/>
    </xf>
    <xf numFmtId="0" fontId="160" fillId="0" borderId="13" xfId="57" applyFont="1" applyFill="1" applyBorder="1">
      <alignment/>
      <protection/>
    </xf>
    <xf numFmtId="0" fontId="157" fillId="0" borderId="12" xfId="57" applyFont="1" applyBorder="1" applyAlignment="1">
      <alignment horizontal="center"/>
      <protection/>
    </xf>
    <xf numFmtId="0" fontId="161" fillId="0" borderId="42" xfId="57" applyFont="1" applyFill="1" applyBorder="1">
      <alignment/>
      <protection/>
    </xf>
    <xf numFmtId="1" fontId="0" fillId="0" borderId="0" xfId="63" applyNumberFormat="1" applyFill="1">
      <alignment/>
      <protection/>
    </xf>
    <xf numFmtId="0" fontId="133" fillId="0" borderId="13" xfId="57" applyFont="1" applyBorder="1" applyAlignment="1">
      <alignment horizontal="center" vertical="top" wrapText="1"/>
      <protection/>
    </xf>
    <xf numFmtId="0" fontId="133" fillId="0" borderId="13" xfId="57" applyFont="1" applyBorder="1" applyAlignment="1">
      <alignment horizontal="center"/>
      <protection/>
    </xf>
    <xf numFmtId="0" fontId="130" fillId="0" borderId="13" xfId="57" applyFont="1" applyBorder="1">
      <alignment/>
      <protection/>
    </xf>
    <xf numFmtId="0" fontId="162" fillId="0" borderId="13" xfId="57" applyFont="1" applyBorder="1">
      <alignment/>
      <protection/>
    </xf>
    <xf numFmtId="0" fontId="11" fillId="5" borderId="0" xfId="57" applyFont="1" applyFill="1">
      <alignment/>
      <protection/>
    </xf>
    <xf numFmtId="1" fontId="11" fillId="5" borderId="0" xfId="57" applyNumberFormat="1" applyFont="1" applyFill="1">
      <alignment/>
      <protection/>
    </xf>
    <xf numFmtId="178" fontId="130" fillId="0" borderId="13" xfId="57" applyNumberFormat="1" applyFont="1" applyBorder="1">
      <alignment/>
      <protection/>
    </xf>
    <xf numFmtId="0" fontId="131" fillId="0" borderId="13" xfId="57" applyFont="1" applyFill="1" applyBorder="1" applyAlignment="1">
      <alignment horizontal="center" vertical="top" wrapText="1"/>
      <protection/>
    </xf>
    <xf numFmtId="0" fontId="130" fillId="0" borderId="13" xfId="57" applyFont="1" applyFill="1" applyBorder="1">
      <alignment/>
      <protection/>
    </xf>
    <xf numFmtId="0" fontId="131" fillId="0" borderId="13" xfId="57" applyFont="1" applyBorder="1" applyAlignment="1">
      <alignment horizontal="center"/>
      <protection/>
    </xf>
    <xf numFmtId="0" fontId="162" fillId="0" borderId="0" xfId="57" applyFont="1" applyFill="1">
      <alignment/>
      <protection/>
    </xf>
    <xf numFmtId="0" fontId="41" fillId="49" borderId="13" xfId="51" applyFont="1" applyFill="1" applyBorder="1" applyAlignment="1" applyProtection="1">
      <alignment horizontal="center" vertical="center" wrapText="1"/>
      <protection/>
    </xf>
    <xf numFmtId="0" fontId="41" fillId="50" borderId="13" xfId="51" applyFont="1" applyFill="1" applyBorder="1" applyAlignment="1" applyProtection="1">
      <alignment horizontal="center" vertical="center" wrapText="1"/>
      <protection/>
    </xf>
    <xf numFmtId="0" fontId="41" fillId="50" borderId="24" xfId="51" applyFont="1" applyFill="1" applyBorder="1" applyAlignment="1" applyProtection="1">
      <alignment horizontal="center" vertical="center" wrapText="1"/>
      <protection/>
    </xf>
    <xf numFmtId="0" fontId="41" fillId="50" borderId="13" xfId="51" applyFont="1" applyFill="1" applyBorder="1" applyAlignment="1" applyProtection="1">
      <alignment horizontal="center" vertical="center" wrapText="1"/>
      <protection/>
    </xf>
    <xf numFmtId="0" fontId="124" fillId="2" borderId="0" xfId="0" applyFont="1" applyFill="1" applyAlignment="1">
      <alignment/>
    </xf>
    <xf numFmtId="3" fontId="124" fillId="2" borderId="0" xfId="0" applyNumberFormat="1" applyFont="1" applyFill="1" applyAlignment="1">
      <alignment/>
    </xf>
    <xf numFmtId="1" fontId="124" fillId="2" borderId="0" xfId="0" applyNumberFormat="1" applyFont="1" applyFill="1" applyAlignment="1">
      <alignment/>
    </xf>
    <xf numFmtId="187" fontId="16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33" fillId="0" borderId="0" xfId="57" applyFont="1">
      <alignment/>
      <protection/>
    </xf>
    <xf numFmtId="4" fontId="164" fillId="0" borderId="0" xfId="61" applyNumberFormat="1" applyFont="1" applyAlignment="1" applyProtection="1">
      <alignment vertical="center"/>
      <protection/>
    </xf>
    <xf numFmtId="0" fontId="133" fillId="0" borderId="13" xfId="57" applyFont="1" applyFill="1" applyBorder="1" applyAlignment="1">
      <alignment horizontal="center" vertical="top" wrapText="1"/>
      <protection/>
    </xf>
    <xf numFmtId="4" fontId="133" fillId="0" borderId="13" xfId="57" applyNumberFormat="1" applyFont="1" applyFill="1" applyBorder="1" applyAlignment="1">
      <alignment horizontal="center"/>
      <protection/>
    </xf>
    <xf numFmtId="0" fontId="133" fillId="0" borderId="13" xfId="57" applyFont="1" applyFill="1" applyBorder="1" applyAlignment="1">
      <alignment horizontal="center" vertical="top"/>
      <protection/>
    </xf>
    <xf numFmtId="10" fontId="133" fillId="0" borderId="13" xfId="57" applyNumberFormat="1" applyFont="1" applyFill="1" applyBorder="1" applyAlignment="1">
      <alignment horizontal="center"/>
      <protection/>
    </xf>
    <xf numFmtId="9" fontId="133" fillId="0" borderId="13" xfId="57" applyNumberFormat="1" applyFont="1" applyFill="1" applyBorder="1" applyAlignment="1">
      <alignment horizontal="center"/>
      <protection/>
    </xf>
    <xf numFmtId="4" fontId="133" fillId="0" borderId="13" xfId="57" applyNumberFormat="1" applyFont="1" applyBorder="1" applyAlignment="1">
      <alignment horizontal="center"/>
      <protection/>
    </xf>
    <xf numFmtId="183" fontId="134" fillId="32" borderId="13" xfId="57" applyNumberFormat="1" applyFont="1" applyFill="1" applyBorder="1" applyAlignment="1">
      <alignment horizontal="center" vertical="top"/>
      <protection/>
    </xf>
    <xf numFmtId="3" fontId="133" fillId="0" borderId="13" xfId="57" applyNumberFormat="1" applyFont="1" applyFill="1" applyBorder="1" applyAlignment="1">
      <alignment horizontal="center" vertical="center"/>
      <protection/>
    </xf>
    <xf numFmtId="2" fontId="137" fillId="0" borderId="13" xfId="57" applyNumberFormat="1" applyFont="1" applyBorder="1" applyAlignment="1">
      <alignment horizontal="center"/>
      <protection/>
    </xf>
    <xf numFmtId="2" fontId="151" fillId="0" borderId="13" xfId="57" applyNumberFormat="1" applyFont="1" applyBorder="1" applyAlignment="1">
      <alignment horizontal="center"/>
      <protection/>
    </xf>
    <xf numFmtId="2" fontId="133" fillId="0" borderId="13" xfId="57" applyNumberFormat="1" applyFont="1" applyBorder="1" applyAlignment="1">
      <alignment horizontal="center"/>
      <protection/>
    </xf>
    <xf numFmtId="0" fontId="4" fillId="4" borderId="0" xfId="57" applyFont="1" applyFill="1">
      <alignment/>
      <protection/>
    </xf>
    <xf numFmtId="4" fontId="4" fillId="4" borderId="0" xfId="57" applyNumberFormat="1" applyFont="1" applyFill="1">
      <alignment/>
      <protection/>
    </xf>
    <xf numFmtId="0" fontId="6" fillId="0" borderId="13" xfId="57" applyFont="1" applyFill="1" applyBorder="1" applyAlignment="1">
      <alignment horizontal="center"/>
      <protection/>
    </xf>
    <xf numFmtId="0" fontId="156" fillId="0" borderId="13" xfId="57" applyFont="1" applyFill="1" applyBorder="1" applyAlignment="1">
      <alignment horizontal="center"/>
      <protection/>
    </xf>
    <xf numFmtId="0" fontId="134" fillId="0" borderId="13" xfId="57" applyFont="1" applyFill="1" applyBorder="1" applyAlignment="1">
      <alignment horizontal="center"/>
      <protection/>
    </xf>
    <xf numFmtId="175" fontId="155" fillId="0" borderId="13" xfId="57" applyNumberFormat="1" applyFont="1" applyFill="1" applyBorder="1" applyAlignment="1">
      <alignment horizontal="center"/>
      <protection/>
    </xf>
    <xf numFmtId="0" fontId="12" fillId="0" borderId="0" xfId="57" applyFont="1" applyAlignment="1">
      <alignment horizontal="justify" wrapText="1"/>
      <protection/>
    </xf>
    <xf numFmtId="0" fontId="11" fillId="0" borderId="0" xfId="57" applyFont="1" applyAlignment="1">
      <alignment horizontal="justify" wrapText="1"/>
      <protection/>
    </xf>
    <xf numFmtId="4" fontId="35" fillId="0" borderId="13" xfId="79" applyNumberFormat="1" applyFont="1" applyFill="1" applyBorder="1" applyAlignment="1" applyProtection="1">
      <alignment horizontal="right" vertical="center"/>
      <protection/>
    </xf>
    <xf numFmtId="4" fontId="34" fillId="0" borderId="13" xfId="79" applyNumberFormat="1" applyFont="1" applyFill="1" applyBorder="1" applyAlignment="1" applyProtection="1">
      <alignment horizontal="right" vertical="center"/>
      <protection/>
    </xf>
    <xf numFmtId="2" fontId="62" fillId="46" borderId="30" xfId="0" applyNumberFormat="1" applyFont="1" applyFill="1" applyBorder="1" applyAlignment="1">
      <alignment horizontal="right" vertical="top" wrapText="1"/>
    </xf>
    <xf numFmtId="2" fontId="54" fillId="39" borderId="30" xfId="0" applyNumberFormat="1" applyFont="1" applyFill="1" applyBorder="1" applyAlignment="1">
      <alignment horizontal="right" vertical="top" wrapText="1"/>
    </xf>
    <xf numFmtId="2" fontId="36" fillId="47" borderId="35" xfId="0" applyNumberFormat="1" applyFont="1" applyFill="1" applyBorder="1" applyAlignment="1">
      <alignment horizontal="right" vertical="top" wrapText="1"/>
    </xf>
    <xf numFmtId="0" fontId="25" fillId="45" borderId="30" xfId="0" applyNumberFormat="1" applyFont="1" applyFill="1" applyBorder="1" applyAlignment="1">
      <alignment horizontal="right" vertical="top" wrapText="1"/>
    </xf>
    <xf numFmtId="0" fontId="25" fillId="0" borderId="30" xfId="0" applyNumberFormat="1" applyFont="1" applyFill="1" applyBorder="1" applyAlignment="1">
      <alignment horizontal="right" vertical="top" wrapText="1"/>
    </xf>
    <xf numFmtId="4" fontId="25" fillId="45" borderId="30" xfId="0" applyNumberFormat="1" applyFont="1" applyFill="1" applyBorder="1" applyAlignment="1">
      <alignment horizontal="right" vertical="top" wrapText="1"/>
    </xf>
    <xf numFmtId="0" fontId="165" fillId="45" borderId="30" xfId="0" applyNumberFormat="1" applyFont="1" applyFill="1" applyBorder="1" applyAlignment="1">
      <alignment horizontal="right" vertical="top" wrapText="1"/>
    </xf>
    <xf numFmtId="0" fontId="166" fillId="45" borderId="30" xfId="0" applyNumberFormat="1" applyFont="1" applyFill="1" applyBorder="1" applyAlignment="1">
      <alignment horizontal="right" vertical="top" wrapText="1"/>
    </xf>
    <xf numFmtId="4" fontId="34" fillId="36" borderId="13" xfId="61" applyNumberFormat="1" applyFont="1" applyFill="1" applyBorder="1" applyAlignment="1" applyProtection="1">
      <alignment vertical="center"/>
      <protection/>
    </xf>
    <xf numFmtId="4" fontId="35" fillId="0" borderId="12" xfId="79" applyNumberFormat="1" applyFont="1" applyFill="1" applyBorder="1" applyAlignment="1" applyProtection="1">
      <alignment horizontal="right" vertical="center"/>
      <protection/>
    </xf>
    <xf numFmtId="4" fontId="34" fillId="0" borderId="14" xfId="72" applyNumberFormat="1" applyFont="1" applyFill="1" applyBorder="1" applyAlignment="1" applyProtection="1">
      <alignment horizontal="right" vertical="center"/>
      <protection locked="0"/>
    </xf>
    <xf numFmtId="0" fontId="167" fillId="0" borderId="13" xfId="57" applyFont="1" applyBorder="1" applyAlignment="1">
      <alignment horizontal="center"/>
      <protection/>
    </xf>
    <xf numFmtId="0" fontId="167" fillId="0" borderId="13" xfId="57" applyFont="1" applyBorder="1" applyAlignment="1">
      <alignment horizontal="center" vertical="center"/>
      <protection/>
    </xf>
    <xf numFmtId="0" fontId="160" fillId="45" borderId="13" xfId="57" applyFont="1" applyFill="1" applyBorder="1">
      <alignment/>
      <protection/>
    </xf>
    <xf numFmtId="4" fontId="35" fillId="0" borderId="43" xfId="79" applyNumberFormat="1" applyFont="1" applyFill="1" applyBorder="1" applyAlignment="1" applyProtection="1">
      <alignment horizontal="right" vertical="center"/>
      <protection/>
    </xf>
    <xf numFmtId="4" fontId="35" fillId="0" borderId="12" xfId="80" applyNumberFormat="1" applyFont="1" applyFill="1" applyBorder="1" applyAlignment="1" applyProtection="1">
      <alignment horizontal="right" vertical="center"/>
      <protection/>
    </xf>
    <xf numFmtId="0" fontId="116" fillId="0" borderId="0" xfId="63" applyFont="1" applyFill="1">
      <alignment/>
      <protection/>
    </xf>
    <xf numFmtId="0" fontId="0" fillId="0" borderId="0" xfId="63" applyFill="1">
      <alignment/>
      <protection/>
    </xf>
    <xf numFmtId="182" fontId="116" fillId="0" borderId="0" xfId="63" applyNumberFormat="1" applyFont="1" applyFill="1">
      <alignment/>
      <protection/>
    </xf>
    <xf numFmtId="1" fontId="116" fillId="0" borderId="0" xfId="63" applyNumberFormat="1" applyFont="1" applyFill="1">
      <alignment/>
      <protection/>
    </xf>
    <xf numFmtId="1" fontId="168" fillId="0" borderId="0" xfId="63" applyNumberFormat="1" applyFont="1" applyFill="1">
      <alignment/>
      <protection/>
    </xf>
    <xf numFmtId="1" fontId="168" fillId="0" borderId="0" xfId="63" applyNumberFormat="1" applyFont="1" applyFill="1">
      <alignment/>
      <protection/>
    </xf>
    <xf numFmtId="178" fontId="0" fillId="0" borderId="0" xfId="63" applyNumberFormat="1" applyFill="1">
      <alignment/>
      <protection/>
    </xf>
    <xf numFmtId="178" fontId="116" fillId="0" borderId="0" xfId="63" applyNumberFormat="1" applyFont="1" applyFill="1">
      <alignment/>
      <protection/>
    </xf>
    <xf numFmtId="0" fontId="169" fillId="0" borderId="0" xfId="63" applyFont="1" applyFill="1">
      <alignment/>
      <protection/>
    </xf>
    <xf numFmtId="2" fontId="170" fillId="0" borderId="0" xfId="63" applyNumberFormat="1" applyFont="1" applyFill="1">
      <alignment/>
      <protection/>
    </xf>
    <xf numFmtId="1" fontId="18" fillId="0" borderId="0" xfId="63" applyNumberFormat="1" applyFont="1" applyFill="1">
      <alignment/>
      <protection/>
    </xf>
    <xf numFmtId="1" fontId="24" fillId="0" borderId="0" xfId="63" applyNumberFormat="1" applyFont="1" applyFill="1">
      <alignment/>
      <protection/>
    </xf>
    <xf numFmtId="1" fontId="116" fillId="3" borderId="0" xfId="63" applyNumberFormat="1" applyFont="1" applyFill="1">
      <alignment/>
      <protection/>
    </xf>
    <xf numFmtId="179" fontId="116" fillId="3" borderId="0" xfId="63" applyNumberFormat="1" applyFont="1" applyFill="1">
      <alignment/>
      <protection/>
    </xf>
    <xf numFmtId="0" fontId="0" fillId="10" borderId="0" xfId="63" applyFill="1">
      <alignment/>
      <protection/>
    </xf>
    <xf numFmtId="1" fontId="0" fillId="10" borderId="0" xfId="63" applyNumberFormat="1" applyFill="1">
      <alignment/>
      <protection/>
    </xf>
    <xf numFmtId="182" fontId="146" fillId="45" borderId="0" xfId="63" applyNumberFormat="1" applyFont="1" applyFill="1">
      <alignment/>
      <protection/>
    </xf>
    <xf numFmtId="1" fontId="24" fillId="0" borderId="0" xfId="63" applyNumberFormat="1" applyFont="1" applyFill="1">
      <alignment/>
      <protection/>
    </xf>
    <xf numFmtId="1" fontId="147" fillId="50" borderId="0" xfId="63" applyNumberFormat="1" applyFont="1" applyFill="1">
      <alignment/>
      <protection/>
    </xf>
    <xf numFmtId="206" fontId="147" fillId="50" borderId="0" xfId="63" applyNumberFormat="1" applyFont="1" applyFill="1">
      <alignment/>
      <protection/>
    </xf>
    <xf numFmtId="1" fontId="0" fillId="50" borderId="0" xfId="63" applyNumberFormat="1" applyFill="1">
      <alignment/>
      <protection/>
    </xf>
    <xf numFmtId="178" fontId="0" fillId="50" borderId="0" xfId="63" applyNumberFormat="1" applyFill="1">
      <alignment/>
      <protection/>
    </xf>
    <xf numFmtId="178" fontId="147" fillId="50" borderId="0" xfId="63" applyNumberFormat="1" applyFont="1" applyFill="1">
      <alignment/>
      <protection/>
    </xf>
    <xf numFmtId="0" fontId="116" fillId="10" borderId="0" xfId="63" applyFont="1" applyFill="1">
      <alignment/>
      <protection/>
    </xf>
    <xf numFmtId="1" fontId="146" fillId="0" borderId="0" xfId="63" applyNumberFormat="1" applyFont="1" applyFill="1">
      <alignment/>
      <protection/>
    </xf>
    <xf numFmtId="1" fontId="124" fillId="0" borderId="0" xfId="63" applyNumberFormat="1" applyFont="1" applyFill="1">
      <alignment/>
      <protection/>
    </xf>
    <xf numFmtId="178" fontId="146" fillId="0" borderId="0" xfId="63" applyNumberFormat="1" applyFont="1" applyFill="1">
      <alignment/>
      <protection/>
    </xf>
    <xf numFmtId="1" fontId="136" fillId="0" borderId="0" xfId="63" applyNumberFormat="1" applyFont="1" applyFill="1">
      <alignment/>
      <protection/>
    </xf>
    <xf numFmtId="1" fontId="171" fillId="0" borderId="0" xfId="63" applyNumberFormat="1" applyFont="1" applyFill="1">
      <alignment/>
      <protection/>
    </xf>
    <xf numFmtId="2" fontId="0" fillId="0" borderId="0" xfId="63" applyNumberFormat="1" applyFill="1">
      <alignment/>
      <protection/>
    </xf>
    <xf numFmtId="178" fontId="0" fillId="0" borderId="0" xfId="63" applyNumberFormat="1">
      <alignment/>
      <protection/>
    </xf>
    <xf numFmtId="0" fontId="124" fillId="51" borderId="0" xfId="63" applyFont="1" applyFill="1">
      <alignment/>
      <protection/>
    </xf>
    <xf numFmtId="1" fontId="124" fillId="51" borderId="0" xfId="63" applyNumberFormat="1" applyFont="1" applyFill="1">
      <alignment/>
      <protection/>
    </xf>
    <xf numFmtId="189" fontId="0" fillId="0" borderId="0" xfId="63" applyNumberFormat="1">
      <alignment/>
      <protection/>
    </xf>
    <xf numFmtId="182" fontId="0" fillId="0" borderId="0" xfId="63" applyNumberFormat="1">
      <alignment/>
      <protection/>
    </xf>
    <xf numFmtId="0" fontId="116" fillId="52" borderId="0" xfId="63" applyFont="1" applyFill="1">
      <alignment/>
      <protection/>
    </xf>
    <xf numFmtId="0" fontId="0" fillId="52" borderId="0" xfId="63" applyFill="1">
      <alignment/>
      <protection/>
    </xf>
    <xf numFmtId="1" fontId="0" fillId="52" borderId="0" xfId="63" applyNumberFormat="1" applyFill="1">
      <alignment/>
      <protection/>
    </xf>
    <xf numFmtId="1" fontId="116" fillId="52" borderId="0" xfId="63" applyNumberFormat="1" applyFont="1" applyFill="1">
      <alignment/>
      <protection/>
    </xf>
    <xf numFmtId="0" fontId="36" fillId="47" borderId="35" xfId="0" applyNumberFormat="1" applyFont="1" applyFill="1" applyBorder="1" applyAlignment="1">
      <alignment horizontal="left" vertical="top"/>
    </xf>
    <xf numFmtId="4" fontId="36" fillId="47" borderId="35" xfId="0" applyNumberFormat="1" applyFont="1" applyFill="1" applyBorder="1" applyAlignment="1">
      <alignment horizontal="right" vertical="top" wrapText="1"/>
    </xf>
    <xf numFmtId="4" fontId="25" fillId="39" borderId="30" xfId="0" applyNumberFormat="1" applyFont="1" applyFill="1" applyBorder="1" applyAlignment="1">
      <alignment horizontal="right" vertical="top" wrapText="1"/>
    </xf>
    <xf numFmtId="4" fontId="50" fillId="39" borderId="30" xfId="0" applyNumberFormat="1" applyFont="1" applyFill="1" applyBorder="1" applyAlignment="1">
      <alignment horizontal="right" vertical="top" wrapText="1"/>
    </xf>
    <xf numFmtId="0" fontId="26" fillId="46" borderId="30" xfId="0" applyNumberFormat="1" applyFont="1" applyFill="1" applyBorder="1" applyAlignment="1">
      <alignment horizontal="left" vertical="top" wrapText="1"/>
    </xf>
    <xf numFmtId="4" fontId="26" fillId="46" borderId="30" xfId="0" applyNumberFormat="1" applyFont="1" applyFill="1" applyBorder="1" applyAlignment="1">
      <alignment horizontal="right" vertical="top" wrapText="1"/>
    </xf>
    <xf numFmtId="0" fontId="26" fillId="47" borderId="35" xfId="0" applyNumberFormat="1" applyFont="1" applyFill="1" applyBorder="1" applyAlignment="1">
      <alignment horizontal="left" vertical="top" wrapText="1"/>
    </xf>
    <xf numFmtId="0" fontId="50" fillId="47" borderId="39" xfId="0" applyNumberFormat="1" applyFont="1" applyFill="1" applyBorder="1" applyAlignment="1">
      <alignment horizontal="center" vertical="top"/>
    </xf>
    <xf numFmtId="0" fontId="50" fillId="47" borderId="44" xfId="0" applyNumberFormat="1" applyFont="1" applyFill="1" applyBorder="1" applyAlignment="1">
      <alignment horizontal="center" vertical="top"/>
    </xf>
    <xf numFmtId="0" fontId="50" fillId="47" borderId="45" xfId="0" applyNumberFormat="1" applyFont="1" applyFill="1" applyBorder="1" applyAlignment="1">
      <alignment horizontal="center" vertical="top"/>
    </xf>
    <xf numFmtId="0" fontId="50" fillId="47" borderId="46" xfId="0" applyNumberFormat="1" applyFont="1" applyFill="1" applyBorder="1" applyAlignment="1">
      <alignment horizontal="center" vertical="top"/>
    </xf>
    <xf numFmtId="0" fontId="50" fillId="47" borderId="0" xfId="0" applyNumberFormat="1" applyFont="1" applyFill="1" applyAlignment="1">
      <alignment horizontal="center" vertical="top"/>
    </xf>
    <xf numFmtId="0" fontId="50" fillId="47" borderId="40" xfId="0" applyNumberFormat="1" applyFont="1" applyFill="1" applyBorder="1" applyAlignment="1">
      <alignment horizontal="center" vertical="top"/>
    </xf>
    <xf numFmtId="0" fontId="50" fillId="47" borderId="47" xfId="0" applyNumberFormat="1" applyFont="1" applyFill="1" applyBorder="1" applyAlignment="1">
      <alignment horizontal="center" vertical="top"/>
    </xf>
    <xf numFmtId="0" fontId="50" fillId="47" borderId="48" xfId="0" applyNumberFormat="1" applyFont="1" applyFill="1" applyBorder="1" applyAlignment="1">
      <alignment horizontal="center" vertical="top"/>
    </xf>
    <xf numFmtId="0" fontId="50" fillId="47" borderId="41" xfId="0" applyNumberFormat="1" applyFont="1" applyFill="1" applyBorder="1" applyAlignment="1">
      <alignment horizontal="center" vertical="top"/>
    </xf>
    <xf numFmtId="0" fontId="17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0" fontId="50" fillId="47" borderId="35" xfId="0" applyNumberFormat="1" applyFont="1" applyFill="1" applyBorder="1" applyAlignment="1">
      <alignment horizontal="center" vertical="top"/>
    </xf>
    <xf numFmtId="0" fontId="25" fillId="0" borderId="30" xfId="0" applyNumberFormat="1" applyFont="1" applyBorder="1" applyAlignment="1">
      <alignment horizontal="left" vertical="top" wrapText="1" indent="2"/>
    </xf>
    <xf numFmtId="4" fontId="25" fillId="0" borderId="30" xfId="0" applyNumberFormat="1" applyFont="1" applyBorder="1" applyAlignment="1">
      <alignment horizontal="right" vertical="top" wrapText="1"/>
    </xf>
    <xf numFmtId="0" fontId="25" fillId="0" borderId="30" xfId="0" applyNumberFormat="1" applyFont="1" applyBorder="1" applyAlignment="1">
      <alignment horizontal="left" vertical="top" wrapText="1" indent="4"/>
    </xf>
    <xf numFmtId="0" fontId="50" fillId="39" borderId="30" xfId="0" applyNumberFormat="1" applyFont="1" applyFill="1" applyBorder="1" applyAlignment="1">
      <alignment horizontal="left" vertical="top" wrapText="1" indent="2"/>
    </xf>
    <xf numFmtId="0" fontId="25" fillId="39" borderId="30" xfId="0" applyNumberFormat="1" applyFont="1" applyFill="1" applyBorder="1" applyAlignment="1">
      <alignment horizontal="left" vertical="top" wrapText="1" indent="3"/>
    </xf>
    <xf numFmtId="0" fontId="26" fillId="46" borderId="30" xfId="0" applyNumberFormat="1" applyFont="1" applyFill="1" applyBorder="1" applyAlignment="1">
      <alignment horizontal="left" vertical="top" wrapText="1" indent="1"/>
    </xf>
    <xf numFmtId="0" fontId="26" fillId="47" borderId="39" xfId="0" applyNumberFormat="1" applyFont="1" applyFill="1" applyBorder="1" applyAlignment="1">
      <alignment horizontal="left" vertical="top" wrapText="1"/>
    </xf>
    <xf numFmtId="0" fontId="26" fillId="47" borderId="47" xfId="0" applyNumberFormat="1" applyFont="1" applyFill="1" applyBorder="1" applyAlignment="1">
      <alignment horizontal="left" vertical="top" wrapText="1"/>
    </xf>
    <xf numFmtId="0" fontId="26" fillId="47" borderId="48" xfId="0" applyNumberFormat="1" applyFont="1" applyFill="1" applyBorder="1" applyAlignment="1">
      <alignment horizontal="left" vertical="top" wrapText="1"/>
    </xf>
    <xf numFmtId="0" fontId="26" fillId="47" borderId="41" xfId="0" applyNumberFormat="1" applyFont="1" applyFill="1" applyBorder="1" applyAlignment="1">
      <alignment horizontal="left" vertical="top" wrapText="1"/>
    </xf>
    <xf numFmtId="0" fontId="36" fillId="47" borderId="35" xfId="0" applyNumberFormat="1" applyFont="1" applyFill="1" applyBorder="1" applyAlignment="1">
      <alignment vertical="top"/>
    </xf>
    <xf numFmtId="0" fontId="25" fillId="45" borderId="30" xfId="0" applyNumberFormat="1" applyFont="1" applyFill="1" applyBorder="1" applyAlignment="1">
      <alignment vertical="top" wrapText="1" indent="3"/>
    </xf>
    <xf numFmtId="0" fontId="166" fillId="0" borderId="30" xfId="0" applyNumberFormat="1" applyFont="1" applyBorder="1" applyAlignment="1">
      <alignment vertical="top" wrapText="1" indent="3"/>
    </xf>
    <xf numFmtId="0" fontId="25" fillId="39" borderId="30" xfId="0" applyNumberFormat="1" applyFont="1" applyFill="1" applyBorder="1" applyAlignment="1">
      <alignment vertical="top" wrapText="1" indent="2"/>
    </xf>
    <xf numFmtId="0" fontId="25" fillId="0" borderId="31" xfId="0" applyNumberFormat="1" applyFont="1" applyBorder="1" applyAlignment="1">
      <alignment vertical="top" wrapText="1" indent="3"/>
    </xf>
    <xf numFmtId="0" fontId="25" fillId="0" borderId="32" xfId="0" applyNumberFormat="1" applyFont="1" applyBorder="1" applyAlignment="1">
      <alignment vertical="top" wrapText="1" indent="3"/>
    </xf>
    <xf numFmtId="0" fontId="50" fillId="39" borderId="30" xfId="0" applyNumberFormat="1" applyFont="1" applyFill="1" applyBorder="1" applyAlignment="1">
      <alignment vertical="top" wrapText="1" indent="1"/>
    </xf>
    <xf numFmtId="0" fontId="25" fillId="0" borderId="30" xfId="0" applyNumberFormat="1" applyFont="1" applyBorder="1" applyAlignment="1">
      <alignment vertical="top" wrapText="1" indent="3"/>
    </xf>
    <xf numFmtId="0" fontId="16" fillId="0" borderId="0" xfId="0" applyNumberFormat="1" applyFont="1" applyAlignment="1">
      <alignment wrapText="1"/>
    </xf>
    <xf numFmtId="0" fontId="26" fillId="47" borderId="35" xfId="0" applyNumberFormat="1" applyFont="1" applyFill="1" applyBorder="1" applyAlignment="1">
      <alignment vertical="top" wrapText="1"/>
    </xf>
    <xf numFmtId="0" fontId="26" fillId="46" borderId="30" xfId="0" applyNumberFormat="1" applyFont="1" applyFill="1" applyBorder="1" applyAlignment="1">
      <alignment vertical="top" wrapText="1"/>
    </xf>
    <xf numFmtId="0" fontId="25" fillId="45" borderId="30" xfId="0" applyNumberFormat="1" applyFont="1" applyFill="1" applyBorder="1" applyAlignment="1">
      <alignment vertical="top" wrapText="1" indent="2"/>
    </xf>
    <xf numFmtId="0" fontId="25" fillId="0" borderId="30" xfId="0" applyNumberFormat="1" applyFont="1" applyBorder="1" applyAlignment="1">
      <alignment vertical="top" wrapText="1" indent="2"/>
    </xf>
    <xf numFmtId="0" fontId="26" fillId="46" borderId="30" xfId="0" applyNumberFormat="1" applyFont="1" applyFill="1" applyBorder="1" applyAlignment="1">
      <alignment vertical="top" wrapText="1" indent="1"/>
    </xf>
    <xf numFmtId="0" fontId="25" fillId="0" borderId="30" xfId="0" applyNumberFormat="1" applyFont="1" applyBorder="1" applyAlignment="1">
      <alignment vertical="top" wrapText="1" indent="4"/>
    </xf>
    <xf numFmtId="0" fontId="50" fillId="39" borderId="30" xfId="0" applyNumberFormat="1" applyFont="1" applyFill="1" applyBorder="1" applyAlignment="1">
      <alignment vertical="top" wrapText="1" indent="2"/>
    </xf>
    <xf numFmtId="0" fontId="25" fillId="39" borderId="30" xfId="0" applyNumberFormat="1" applyFont="1" applyFill="1" applyBorder="1" applyAlignment="1">
      <alignment vertical="top" wrapText="1" indent="3"/>
    </xf>
    <xf numFmtId="0" fontId="26" fillId="47" borderId="39" xfId="0" applyNumberFormat="1" applyFont="1" applyFill="1" applyBorder="1" applyAlignment="1">
      <alignment vertical="top" wrapText="1"/>
    </xf>
    <xf numFmtId="0" fontId="26" fillId="47" borderId="47" xfId="0" applyNumberFormat="1" applyFont="1" applyFill="1" applyBorder="1" applyAlignment="1">
      <alignment vertical="top" wrapText="1"/>
    </xf>
    <xf numFmtId="0" fontId="26" fillId="47" borderId="41" xfId="0" applyNumberFormat="1" applyFont="1" applyFill="1" applyBorder="1" applyAlignment="1">
      <alignment vertical="top" wrapText="1"/>
    </xf>
    <xf numFmtId="0" fontId="42" fillId="43" borderId="49" xfId="61" applyFont="1" applyFill="1" applyBorder="1" applyAlignment="1" applyProtection="1">
      <alignment horizontal="left" vertical="center" indent="2"/>
      <protection/>
    </xf>
    <xf numFmtId="0" fontId="42" fillId="43" borderId="29" xfId="61" applyFont="1" applyFill="1" applyBorder="1" applyAlignment="1" applyProtection="1">
      <alignment horizontal="left" vertical="center" indent="2"/>
      <protection/>
    </xf>
    <xf numFmtId="0" fontId="35" fillId="43" borderId="49" xfId="65" applyNumberFormat="1" applyFont="1" applyFill="1" applyBorder="1" applyAlignment="1" applyProtection="1">
      <alignment horizontal="left" vertical="center" indent="1"/>
      <protection/>
    </xf>
    <xf numFmtId="0" fontId="35" fillId="43" borderId="29" xfId="65" applyNumberFormat="1" applyFont="1" applyFill="1" applyBorder="1" applyAlignment="1" applyProtection="1">
      <alignment horizontal="left" vertical="center" indent="1"/>
      <protection/>
    </xf>
    <xf numFmtId="0" fontId="18" fillId="53" borderId="0" xfId="59" applyFont="1" applyFill="1" applyAlignment="1">
      <alignment wrapText="1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53" borderId="0" xfId="0" applyFill="1" applyAlignment="1">
      <alignment wrapText="1"/>
    </xf>
    <xf numFmtId="187" fontId="27" fillId="35" borderId="13" xfId="0" applyNumberFormat="1" applyFont="1" applyFill="1" applyBorder="1" applyAlignment="1">
      <alignment horizontal="center" vertical="center"/>
    </xf>
    <xf numFmtId="0" fontId="1" fillId="53" borderId="0" xfId="59" applyFont="1" applyFill="1" applyAlignment="1">
      <alignment wrapText="1"/>
      <protection/>
    </xf>
    <xf numFmtId="0" fontId="0" fillId="53" borderId="0" xfId="59" applyFill="1" applyAlignment="1">
      <alignment wrapText="1"/>
      <protection/>
    </xf>
    <xf numFmtId="0" fontId="9" fillId="0" borderId="0" xfId="57" applyFont="1" applyAlignment="1">
      <alignment horizontal="center"/>
      <protection/>
    </xf>
    <xf numFmtId="0" fontId="4" fillId="0" borderId="12" xfId="57" applyFont="1" applyBorder="1" applyAlignment="1">
      <alignment horizontal="center" vertical="top" wrapText="1"/>
      <protection/>
    </xf>
    <xf numFmtId="0" fontId="4" fillId="0" borderId="14" xfId="57" applyFont="1" applyBorder="1" applyAlignment="1">
      <alignment horizontal="center" vertical="top" wrapText="1"/>
      <protection/>
    </xf>
    <xf numFmtId="0" fontId="4" fillId="0" borderId="12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7" fillId="0" borderId="0" xfId="57" applyFont="1" applyAlignment="1">
      <alignment horizontal="justify" wrapText="1"/>
      <protection/>
    </xf>
    <xf numFmtId="0" fontId="5" fillId="0" borderId="0" xfId="57" applyFont="1" applyAlignment="1">
      <alignment horizontal="justify" wrapText="1"/>
      <protection/>
    </xf>
    <xf numFmtId="49" fontId="4" fillId="0" borderId="33" xfId="57" applyNumberFormat="1" applyFont="1" applyBorder="1" applyAlignment="1">
      <alignment horizontal="left" vertical="center"/>
      <protection/>
    </xf>
    <xf numFmtId="49" fontId="4" fillId="0" borderId="50" xfId="57" applyNumberFormat="1" applyFont="1" applyBorder="1" applyAlignment="1">
      <alignment horizontal="left" vertical="center"/>
      <protection/>
    </xf>
    <xf numFmtId="49" fontId="4" fillId="0" borderId="51" xfId="57" applyNumberFormat="1" applyFont="1" applyBorder="1" applyAlignment="1">
      <alignment horizontal="left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0" xfId="57" applyFont="1" applyAlignment="1">
      <alignment horizontal="right"/>
      <protection/>
    </xf>
    <xf numFmtId="0" fontId="12" fillId="0" borderId="0" xfId="57" applyFont="1" applyAlignment="1">
      <alignment horizontal="justify" wrapText="1"/>
      <protection/>
    </xf>
    <xf numFmtId="0" fontId="11" fillId="0" borderId="0" xfId="57" applyFont="1" applyAlignment="1">
      <alignment horizontal="justify" wrapText="1"/>
      <protection/>
    </xf>
    <xf numFmtId="0" fontId="4" fillId="0" borderId="33" xfId="57" applyFont="1" applyBorder="1" applyAlignment="1">
      <alignment horizontal="left" vertical="center"/>
      <protection/>
    </xf>
    <xf numFmtId="0" fontId="4" fillId="0" borderId="50" xfId="57" applyFont="1" applyBorder="1" applyAlignment="1">
      <alignment horizontal="left" vertical="center"/>
      <protection/>
    </xf>
    <xf numFmtId="0" fontId="4" fillId="0" borderId="51" xfId="57" applyFont="1" applyBorder="1" applyAlignment="1">
      <alignment horizontal="left" vertical="center"/>
      <protection/>
    </xf>
    <xf numFmtId="0" fontId="4" fillId="0" borderId="11" xfId="57" applyFont="1" applyBorder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top" wrapText="1"/>
      <protection/>
    </xf>
    <xf numFmtId="0" fontId="4" fillId="0" borderId="20" xfId="57" applyFont="1" applyBorder="1" applyAlignment="1">
      <alignment horizontal="center" vertical="top" wrapText="1"/>
      <protection/>
    </xf>
    <xf numFmtId="0" fontId="4" fillId="0" borderId="17" xfId="57" applyFont="1" applyBorder="1" applyAlignment="1">
      <alignment horizontal="center" vertical="top" wrapText="1"/>
      <protection/>
    </xf>
    <xf numFmtId="0" fontId="4" fillId="0" borderId="33" xfId="57" applyFont="1" applyBorder="1" applyAlignment="1">
      <alignment horizontal="center" vertical="top" wrapText="1"/>
      <protection/>
    </xf>
    <xf numFmtId="0" fontId="4" fillId="0" borderId="18" xfId="57" applyFont="1" applyBorder="1" applyAlignment="1">
      <alignment horizontal="center" vertical="top" wrapText="1"/>
      <protection/>
    </xf>
    <xf numFmtId="0" fontId="4" fillId="0" borderId="51" xfId="57" applyFont="1" applyBorder="1" applyAlignment="1">
      <alignment horizontal="center" vertical="top" wrapText="1"/>
      <protection/>
    </xf>
    <xf numFmtId="0" fontId="11" fillId="0" borderId="16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7" xfId="57" applyFont="1" applyBorder="1" applyAlignment="1">
      <alignment horizontal="center" vertical="center" wrapText="1"/>
      <protection/>
    </xf>
    <xf numFmtId="0" fontId="11" fillId="0" borderId="33" xfId="57" applyFont="1" applyBorder="1" applyAlignment="1">
      <alignment horizontal="center" vertical="center" wrapText="1"/>
      <protection/>
    </xf>
    <xf numFmtId="0" fontId="11" fillId="0" borderId="19" xfId="57" applyFont="1" applyBorder="1" applyAlignment="1">
      <alignment horizontal="center" vertical="center" wrapText="1"/>
      <protection/>
    </xf>
    <xf numFmtId="0" fontId="11" fillId="0" borderId="50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11" fillId="0" borderId="51" xfId="57" applyFont="1" applyBorder="1" applyAlignment="1">
      <alignment horizontal="center" vertical="center" wrapText="1"/>
      <protection/>
    </xf>
    <xf numFmtId="0" fontId="11" fillId="0" borderId="16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20" xfId="57" applyFont="1" applyBorder="1" applyAlignment="1">
      <alignment horizontal="center" vertical="center" wrapText="1"/>
      <protection/>
    </xf>
    <xf numFmtId="0" fontId="11" fillId="0" borderId="16" xfId="57" applyNumberFormat="1" applyFont="1" applyBorder="1" applyAlignment="1">
      <alignment horizontal="center" vertical="center" wrapText="1"/>
      <protection/>
    </xf>
    <xf numFmtId="0" fontId="11" fillId="0" borderId="15" xfId="57" applyNumberFormat="1" applyFont="1" applyBorder="1" applyAlignment="1">
      <alignment horizontal="center" vertical="center" wrapText="1"/>
      <protection/>
    </xf>
    <xf numFmtId="0" fontId="11" fillId="0" borderId="20" xfId="57" applyNumberFormat="1" applyFont="1" applyBorder="1" applyAlignment="1">
      <alignment horizontal="center" vertical="center" wrapText="1"/>
      <protection/>
    </xf>
    <xf numFmtId="49" fontId="11" fillId="0" borderId="16" xfId="57" applyNumberFormat="1" applyFont="1" applyBorder="1" applyAlignment="1">
      <alignment horizontal="center" vertical="center" wrapText="1"/>
      <protection/>
    </xf>
    <xf numFmtId="49" fontId="11" fillId="0" borderId="15" xfId="57" applyNumberFormat="1" applyFont="1" applyBorder="1" applyAlignment="1">
      <alignment horizontal="center" vertical="center" wrapText="1"/>
      <protection/>
    </xf>
    <xf numFmtId="49" fontId="11" fillId="0" borderId="20" xfId="57" applyNumberFormat="1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center"/>
      <protection/>
    </xf>
    <xf numFmtId="0" fontId="11" fillId="0" borderId="16" xfId="57" applyFont="1" applyBorder="1" applyAlignment="1">
      <alignment horizontal="center" vertical="top" wrapText="1"/>
      <protection/>
    </xf>
    <xf numFmtId="0" fontId="11" fillId="0" borderId="20" xfId="57" applyFont="1" applyBorder="1" applyAlignment="1">
      <alignment horizontal="center" vertical="top" wrapText="1"/>
      <protection/>
    </xf>
    <xf numFmtId="204" fontId="1" fillId="0" borderId="0" xfId="64" applyNumberFormat="1" applyFill="1">
      <alignment/>
      <protection/>
    </xf>
    <xf numFmtId="189" fontId="172" fillId="0" borderId="0" xfId="61" applyNumberFormat="1" applyFont="1" applyFill="1" applyBorder="1" applyAlignment="1" applyProtection="1">
      <alignment vertical="center"/>
      <protection/>
    </xf>
    <xf numFmtId="4" fontId="35" fillId="0" borderId="14" xfId="79" applyNumberFormat="1" applyFont="1" applyFill="1" applyBorder="1" applyAlignment="1" applyProtection="1">
      <alignment horizontal="right" vertical="center"/>
      <protection/>
    </xf>
    <xf numFmtId="4" fontId="140" fillId="0" borderId="13" xfId="72" applyNumberFormat="1" applyFont="1" applyFill="1" applyBorder="1" applyAlignment="1" applyProtection="1">
      <alignment horizontal="right" vertical="center"/>
      <protection locked="0"/>
    </xf>
    <xf numFmtId="4" fontId="140" fillId="0" borderId="13" xfId="61" applyNumberFormat="1" applyFont="1" applyFill="1" applyBorder="1" applyAlignment="1" applyProtection="1">
      <alignment horizontal="right" vertical="center"/>
      <protection locked="0"/>
    </xf>
    <xf numFmtId="4" fontId="173" fillId="0" borderId="13" xfId="61" applyNumberFormat="1" applyFont="1" applyFill="1" applyBorder="1" applyAlignment="1" applyProtection="1">
      <alignment horizontal="right" vertical="center"/>
      <protection locked="0"/>
    </xf>
    <xf numFmtId="189" fontId="140" fillId="0" borderId="0" xfId="61" applyNumberFormat="1" applyFont="1" applyFill="1" applyBorder="1" applyAlignment="1" applyProtection="1">
      <alignment vertical="center"/>
      <protection/>
    </xf>
    <xf numFmtId="0" fontId="173" fillId="43" borderId="29" xfId="61" applyFont="1" applyFill="1" applyBorder="1" applyAlignment="1" applyProtection="1">
      <alignment vertical="center"/>
      <protection/>
    </xf>
    <xf numFmtId="0" fontId="140" fillId="40" borderId="0" xfId="61" applyFont="1" applyFill="1" applyBorder="1" applyAlignment="1" applyProtection="1">
      <alignment vertical="center"/>
      <protection/>
    </xf>
    <xf numFmtId="4" fontId="173" fillId="0" borderId="13" xfId="79" applyNumberFormat="1" applyFont="1" applyFill="1" applyBorder="1" applyAlignment="1" applyProtection="1">
      <alignment horizontal="right" vertical="center"/>
      <protection/>
    </xf>
    <xf numFmtId="4" fontId="140" fillId="0" borderId="13" xfId="79" applyNumberFormat="1" applyFont="1" applyFill="1" applyBorder="1" applyAlignment="1" applyProtection="1">
      <alignment horizontal="right" vertical="center"/>
      <protection/>
    </xf>
    <xf numFmtId="172" fontId="140" fillId="40" borderId="0" xfId="61" applyNumberFormat="1" applyFont="1" applyFill="1" applyBorder="1" applyAlignment="1" applyProtection="1">
      <alignment vertical="center"/>
      <protection/>
    </xf>
    <xf numFmtId="0" fontId="140" fillId="0" borderId="0" xfId="61" applyFont="1" applyFill="1" applyBorder="1" applyAlignment="1" applyProtection="1">
      <alignment vertical="center"/>
      <protection/>
    </xf>
    <xf numFmtId="4" fontId="140" fillId="0" borderId="52" xfId="79" applyNumberFormat="1" applyFont="1" applyFill="1" applyBorder="1" applyAlignment="1" applyProtection="1">
      <alignment horizontal="right" vertical="center"/>
      <protection/>
    </xf>
    <xf numFmtId="4" fontId="140" fillId="32" borderId="52" xfId="79" applyNumberFormat="1" applyFont="1" applyFill="1" applyBorder="1" applyAlignment="1" applyProtection="1">
      <alignment horizontal="right" vertical="center"/>
      <protection/>
    </xf>
    <xf numFmtId="171" fontId="173" fillId="43" borderId="29" xfId="65" applyNumberFormat="1" applyFont="1" applyFill="1" applyBorder="1" applyAlignment="1" applyProtection="1">
      <alignment vertical="center" wrapText="1"/>
      <protection/>
    </xf>
    <xf numFmtId="4" fontId="140" fillId="0" borderId="13" xfId="61" applyNumberFormat="1" applyFont="1" applyFill="1" applyBorder="1" applyAlignment="1" applyProtection="1">
      <alignment vertical="center"/>
      <protection/>
    </xf>
    <xf numFmtId="4" fontId="173" fillId="36" borderId="33" xfId="61" applyNumberFormat="1" applyFont="1" applyFill="1" applyBorder="1" applyAlignment="1" applyProtection="1">
      <alignment vertical="center"/>
      <protection/>
    </xf>
    <xf numFmtId="4" fontId="140" fillId="36" borderId="33" xfId="61" applyNumberFormat="1" applyFont="1" applyFill="1" applyBorder="1" applyAlignment="1" applyProtection="1">
      <alignment vertical="center"/>
      <protection/>
    </xf>
    <xf numFmtId="4" fontId="173" fillId="36" borderId="26" xfId="61" applyNumberFormat="1" applyFont="1" applyFill="1" applyBorder="1" applyAlignment="1" applyProtection="1">
      <alignment vertical="center"/>
      <protection/>
    </xf>
    <xf numFmtId="0" fontId="40" fillId="0" borderId="16" xfId="61" applyFont="1" applyFill="1" applyBorder="1" applyAlignment="1" applyProtection="1">
      <alignment horizontal="center" vertical="center" wrapText="1"/>
      <protection/>
    </xf>
    <xf numFmtId="0" fontId="140" fillId="0" borderId="13" xfId="61" applyFont="1" applyFill="1" applyBorder="1" applyAlignment="1" applyProtection="1">
      <alignment horizontal="center" vertical="center" wrapText="1"/>
      <protection/>
    </xf>
    <xf numFmtId="4" fontId="173" fillId="0" borderId="13" xfId="80" applyNumberFormat="1" applyFont="1" applyFill="1" applyBorder="1" applyAlignment="1" applyProtection="1">
      <alignment horizontal="right" vertical="center"/>
      <protection/>
    </xf>
    <xf numFmtId="4" fontId="173" fillId="0" borderId="52" xfId="79" applyNumberFormat="1" applyFont="1" applyFill="1" applyBorder="1" applyAlignment="1" applyProtection="1">
      <alignment horizontal="right" vertical="center"/>
      <protection/>
    </xf>
    <xf numFmtId="4" fontId="173" fillId="0" borderId="52" xfId="80" applyNumberFormat="1" applyFont="1" applyFill="1" applyBorder="1" applyAlignment="1" applyProtection="1">
      <alignment horizontal="right" vertical="center"/>
      <protection/>
    </xf>
    <xf numFmtId="0" fontId="140" fillId="0" borderId="53" xfId="61" applyFont="1" applyFill="1" applyBorder="1" applyAlignment="1" applyProtection="1">
      <alignment horizontal="center" vertical="center" wrapText="1"/>
      <protection/>
    </xf>
    <xf numFmtId="4" fontId="35" fillId="0" borderId="54" xfId="79" applyNumberFormat="1" applyFont="1" applyFill="1" applyBorder="1" applyAlignment="1" applyProtection="1">
      <alignment horizontal="right" vertical="center"/>
      <protection/>
    </xf>
    <xf numFmtId="4" fontId="173" fillId="0" borderId="23" xfId="79" applyNumberFormat="1" applyFont="1" applyFill="1" applyBorder="1" applyAlignment="1" applyProtection="1">
      <alignment horizontal="right" vertical="center"/>
      <protection/>
    </xf>
    <xf numFmtId="4" fontId="49" fillId="32" borderId="12" xfId="79" applyNumberFormat="1" applyFont="1" applyFill="1" applyBorder="1" applyAlignment="1" applyProtection="1">
      <alignment horizontal="right" vertical="center"/>
      <protection/>
    </xf>
    <xf numFmtId="4" fontId="34" fillId="0" borderId="55" xfId="79" applyNumberFormat="1" applyFont="1" applyFill="1" applyBorder="1" applyAlignment="1" applyProtection="1">
      <alignment horizontal="right" vertical="center"/>
      <protection/>
    </xf>
    <xf numFmtId="4" fontId="34" fillId="32" borderId="55" xfId="79" applyNumberFormat="1" applyFont="1" applyFill="1" applyBorder="1" applyAlignment="1" applyProtection="1">
      <alignment horizontal="right" vertical="center"/>
      <protection/>
    </xf>
    <xf numFmtId="4" fontId="34" fillId="0" borderId="56" xfId="79" applyNumberFormat="1" applyFont="1" applyFill="1" applyBorder="1" applyAlignment="1" applyProtection="1">
      <alignment horizontal="right" vertical="center"/>
      <protection/>
    </xf>
    <xf numFmtId="4" fontId="35" fillId="0" borderId="14" xfId="80" applyNumberFormat="1" applyFont="1" applyFill="1" applyBorder="1" applyAlignment="1" applyProtection="1">
      <alignment horizontal="right" vertical="center"/>
      <protection/>
    </xf>
    <xf numFmtId="4" fontId="34" fillId="32" borderId="13" xfId="79" applyNumberFormat="1" applyFont="1" applyFill="1" applyBorder="1" applyAlignment="1" applyProtection="1">
      <alignment horizontal="right" vertical="center"/>
      <protection/>
    </xf>
    <xf numFmtId="4" fontId="35" fillId="0" borderId="13" xfId="80" applyNumberFormat="1" applyFont="1" applyFill="1" applyBorder="1" applyAlignment="1" applyProtection="1">
      <alignment horizontal="right" vertical="center"/>
      <protection/>
    </xf>
    <xf numFmtId="4" fontId="35" fillId="0" borderId="57" xfId="79" applyNumberFormat="1" applyFont="1" applyFill="1" applyBorder="1" applyAlignment="1" applyProtection="1">
      <alignment horizontal="right" vertical="center"/>
      <protection/>
    </xf>
    <xf numFmtId="4" fontId="173" fillId="0" borderId="57" xfId="79" applyNumberFormat="1" applyFont="1" applyFill="1" applyBorder="1" applyAlignment="1" applyProtection="1">
      <alignment horizontal="right" vertical="center"/>
      <protection/>
    </xf>
    <xf numFmtId="4" fontId="34" fillId="0" borderId="57" xfId="61" applyNumberFormat="1" applyFont="1" applyFill="1" applyBorder="1" applyAlignment="1" applyProtection="1">
      <alignment horizontal="right" vertical="center"/>
      <protection locked="0"/>
    </xf>
    <xf numFmtId="183" fontId="34" fillId="0" borderId="57" xfId="61" applyNumberFormat="1" applyFont="1" applyFill="1" applyBorder="1" applyAlignment="1" applyProtection="1">
      <alignment horizontal="right" vertical="center"/>
      <protection locked="0"/>
    </xf>
    <xf numFmtId="183" fontId="140" fillId="0" borderId="57" xfId="61" applyNumberFormat="1" applyFont="1" applyFill="1" applyBorder="1" applyAlignment="1" applyProtection="1">
      <alignment horizontal="right" vertical="center"/>
      <protection locked="0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Столбца" xfId="51"/>
    <cellStyle name="Итог" xfId="52"/>
    <cellStyle name="Контрольная ячейка" xfId="53"/>
    <cellStyle name="Название" xfId="54"/>
    <cellStyle name="Нейтральный" xfId="55"/>
    <cellStyle name="Обычный 11 3" xfId="56"/>
    <cellStyle name="Обычный 2" xfId="57"/>
    <cellStyle name="Обычный 2 2" xfId="58"/>
    <cellStyle name="Обычный 2 3" xfId="59"/>
    <cellStyle name="Обычный 2_наш последний RAB (28.09.10)" xfId="60"/>
    <cellStyle name="Обычный 2_НВВ - сети долгосрочный (15.07) - передано на оформление 2" xfId="61"/>
    <cellStyle name="Обычный 3" xfId="62"/>
    <cellStyle name="Обычный 4" xfId="63"/>
    <cellStyle name="Обычный_24.11.15 ОТПР" xfId="64"/>
    <cellStyle name="Обычный_НВВ 2009 постатейно свод по филиалам_09_02_0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5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Финансовый 3" xfId="78"/>
    <cellStyle name="Формула_GRES.2007.5" xfId="79"/>
    <cellStyle name="Формула_НВВ - сети долгосрочный (15.07) - передано на оформление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5;&#1086;&#1085;&#1080;&#1084;\&#1052;&#1086;&#1080;%20&#1076;&#1086;&#1082;&#1091;&#1084;&#1077;&#1085;&#1090;&#1099;\&#1060;&#1080;&#1085;&#1072;&#1085;&#1089;&#1086;&#1074;&#1099;&#1077;%20&#1079;&#1072;&#1075;&#1086;&#1090;&#1086;&#1074;&#1082;&#1080;\&#1056;&#1072;&#1073;&#1086;&#1095;&#1077;&#1077;\&#1069;&#1085;&#1077;&#1088;&#1075;&#1086;&#1080;&#1085;&#1074;&#1077;&#1089;&#1090;%20&#1041;&#1102;&#1076;&#1078;&#1077;&#1090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5;&#1086;&#1085;&#1080;&#1084;\&#1052;&#1086;&#1080;%20&#1076;&#1086;&#1082;&#1091;&#1084;&#1077;&#1085;&#1090;&#1099;\&#1060;&#1080;&#1085;&#1072;&#1085;&#1089;&#1086;&#1074;&#1099;&#1077;%20&#1079;&#1072;&#1075;&#1086;&#1090;&#1086;&#1074;&#1082;&#1080;\&#1056;&#1072;&#1073;&#1086;&#1095;&#1077;&#1077;\&#1069;&#1085;&#1077;&#1088;&#1075;&#1086;&#1080;&#1085;&#1074;&#1077;&#1089;&#1090;%20&#1041;&#1102;&#1076;&#1078;&#1077;&#1090;%202012%20-%2008.02.2012%20&#1087;&#1083;&#1072;&#1085;%20&#1080;%20&#1092;&#1072;&#1082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58;&#1040;\&#1048;&#1057;&#1061;&#1054;&#1044;&#1053;&#1067;&#1045;\&#1048;&#1057;&#1061;%20&#1080;%20&#1057;&#1042;&#1054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"/>
      <sheetName val="БДР "/>
      <sheetName val="Доходы"/>
      <sheetName val="Постоянные "/>
      <sheetName val="Переменные "/>
      <sheetName val="Прочее"/>
      <sheetName val="Свод 2012"/>
      <sheetName val="Штатка и ЕСН"/>
      <sheetName val="СЕРЫХ 1"/>
      <sheetName val="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2012"/>
      <sheetName val="Фев2012"/>
      <sheetName val="Cash"/>
      <sheetName val="Кредит"/>
      <sheetName val="Cash свод. 2012"/>
      <sheetName val="БДР "/>
      <sheetName val="Доходы"/>
      <sheetName val="Постоянные с НДС "/>
      <sheetName val="Таб. П1.15 2012"/>
      <sheetName val="Переменные "/>
      <sheetName val="Прочее"/>
      <sheetName val="46-EP"/>
      <sheetName val="Свод 2012"/>
      <sheetName val="2012"/>
      <sheetName val="Штатка и ЕСН план"/>
      <sheetName val="Штатка и ЕСН актуал."/>
      <sheetName val="Штатка и ЕСН янв.2012"/>
      <sheetName val="СЕРЫХ 1"/>
      <sheetName val="Стать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 2014"/>
      <sheetName val="ОБЩ"/>
      <sheetName val="СВОД"/>
      <sheetName val="21.04.14"/>
      <sheetName val="Оплата"/>
      <sheetName val="Сро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N30"/>
  <sheetViews>
    <sheetView zoomScale="110" zoomScaleNormal="110" zoomScalePageLayoutView="0" workbookViewId="0" topLeftCell="A12">
      <selection activeCell="H29" sqref="H29"/>
    </sheetView>
  </sheetViews>
  <sheetFormatPr defaultColWidth="9.140625" defaultRowHeight="15"/>
  <cols>
    <col min="4" max="4" width="13.00390625" style="0" customWidth="1"/>
    <col min="5" max="5" width="3.7109375" style="0" customWidth="1"/>
    <col min="6" max="6" width="3.28125" style="0" customWidth="1"/>
    <col min="7" max="7" width="3.57421875" style="0" customWidth="1"/>
    <col min="8" max="8" width="12.421875" style="398" bestFit="1" customWidth="1"/>
    <col min="9" max="9" width="13.57421875" style="0" customWidth="1"/>
    <col min="10" max="10" width="4.421875" style="0" customWidth="1"/>
    <col min="12" max="12" width="2.7109375" style="0" customWidth="1"/>
    <col min="13" max="13" width="3.7109375" style="0" customWidth="1"/>
    <col min="14" max="14" width="5.00390625" style="0" customWidth="1"/>
  </cols>
  <sheetData>
    <row r="1" spans="1:14" ht="14.25">
      <c r="A1" s="593" t="s">
        <v>337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353"/>
    </row>
    <row r="2" spans="1:14" ht="15">
      <c r="A2" s="594" t="s">
        <v>502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353"/>
    </row>
    <row r="3" spans="1:14" ht="14.25">
      <c r="A3" s="353"/>
      <c r="B3" s="353"/>
      <c r="C3" s="353"/>
      <c r="D3" s="353"/>
      <c r="E3" s="353"/>
      <c r="F3" s="353"/>
      <c r="G3" s="353"/>
      <c r="H3" s="399"/>
      <c r="I3" s="353"/>
      <c r="J3" s="353"/>
      <c r="K3" s="353"/>
      <c r="L3" s="353"/>
      <c r="M3" s="353"/>
      <c r="N3" s="353"/>
    </row>
    <row r="4" spans="1:14" ht="20.25">
      <c r="A4" s="357" t="s">
        <v>338</v>
      </c>
      <c r="B4" s="595" t="s">
        <v>339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353"/>
    </row>
    <row r="5" spans="1:14" ht="14.25">
      <c r="A5" s="353"/>
      <c r="B5" s="353"/>
      <c r="C5" s="353"/>
      <c r="D5" s="353"/>
      <c r="E5" s="353"/>
      <c r="F5" s="353"/>
      <c r="G5" s="353"/>
      <c r="H5" s="399"/>
      <c r="I5" s="353"/>
      <c r="J5" s="353"/>
      <c r="K5" s="353"/>
      <c r="L5" s="353"/>
      <c r="M5" s="353"/>
      <c r="N5" s="353"/>
    </row>
    <row r="6" spans="1:14" ht="14.25">
      <c r="A6" s="583" t="s">
        <v>174</v>
      </c>
      <c r="B6" s="583"/>
      <c r="C6" s="583"/>
      <c r="D6" s="596" t="s">
        <v>175</v>
      </c>
      <c r="E6" s="596"/>
      <c r="F6" s="596"/>
      <c r="G6" s="596"/>
      <c r="H6" s="391" t="s">
        <v>176</v>
      </c>
      <c r="I6" s="391"/>
      <c r="J6" s="596" t="s">
        <v>177</v>
      </c>
      <c r="K6" s="596"/>
      <c r="L6" s="596"/>
      <c r="M6" s="596"/>
      <c r="N6" s="596"/>
    </row>
    <row r="7" spans="1:14" ht="14.25">
      <c r="A7" s="583" t="s">
        <v>205</v>
      </c>
      <c r="B7" s="583"/>
      <c r="C7" s="583"/>
      <c r="D7" s="584" t="s">
        <v>178</v>
      </c>
      <c r="E7" s="584" t="s">
        <v>179</v>
      </c>
      <c r="F7" s="584"/>
      <c r="G7" s="584"/>
      <c r="H7" s="392"/>
      <c r="I7" s="584" t="s">
        <v>179</v>
      </c>
      <c r="J7" s="584" t="s">
        <v>178</v>
      </c>
      <c r="K7" s="584"/>
      <c r="L7" s="584" t="s">
        <v>179</v>
      </c>
      <c r="M7" s="584"/>
      <c r="N7" s="584"/>
    </row>
    <row r="8" spans="1:14" ht="14.25">
      <c r="A8" s="583" t="s">
        <v>503</v>
      </c>
      <c r="B8" s="583"/>
      <c r="C8" s="583"/>
      <c r="D8" s="585"/>
      <c r="E8" s="587"/>
      <c r="F8" s="588"/>
      <c r="G8" s="589"/>
      <c r="H8" s="393" t="s">
        <v>178</v>
      </c>
      <c r="I8" s="585"/>
      <c r="J8" s="587"/>
      <c r="K8" s="589"/>
      <c r="L8" s="587"/>
      <c r="M8" s="588"/>
      <c r="N8" s="589"/>
    </row>
    <row r="9" spans="1:14" ht="14.25">
      <c r="A9" s="583" t="s">
        <v>504</v>
      </c>
      <c r="B9" s="583"/>
      <c r="C9" s="583"/>
      <c r="D9" s="586"/>
      <c r="E9" s="590"/>
      <c r="F9" s="591"/>
      <c r="G9" s="592"/>
      <c r="H9" s="394"/>
      <c r="I9" s="586"/>
      <c r="J9" s="590"/>
      <c r="K9" s="592"/>
      <c r="L9" s="590"/>
      <c r="M9" s="591"/>
      <c r="N9" s="592"/>
    </row>
    <row r="10" spans="1:14" ht="14.25">
      <c r="A10" s="581" t="s">
        <v>505</v>
      </c>
      <c r="B10" s="581"/>
      <c r="C10" s="581"/>
      <c r="D10" s="358">
        <v>5638144.41</v>
      </c>
      <c r="E10" s="359"/>
      <c r="F10" s="360"/>
      <c r="G10" s="361"/>
      <c r="H10" s="358">
        <v>53000112.77</v>
      </c>
      <c r="I10" s="358">
        <v>52753503.74</v>
      </c>
      <c r="J10" s="582">
        <v>5884753.44</v>
      </c>
      <c r="K10" s="582"/>
      <c r="L10" s="359"/>
      <c r="M10" s="360"/>
      <c r="N10" s="361"/>
    </row>
    <row r="11" spans="1:14" ht="14.25">
      <c r="A11" s="602" t="s">
        <v>206</v>
      </c>
      <c r="B11" s="602"/>
      <c r="C11" s="602"/>
      <c r="D11" s="358">
        <v>5638144.41</v>
      </c>
      <c r="E11" s="359"/>
      <c r="F11" s="360"/>
      <c r="G11" s="361"/>
      <c r="H11" s="358">
        <v>53000112.77</v>
      </c>
      <c r="I11" s="358">
        <v>52753503.74</v>
      </c>
      <c r="J11" s="582">
        <v>5884753.44</v>
      </c>
      <c r="K11" s="582"/>
      <c r="L11" s="359"/>
      <c r="M11" s="360"/>
      <c r="N11" s="361"/>
    </row>
    <row r="12" spans="1:14" ht="14.25">
      <c r="A12" s="600" t="s">
        <v>506</v>
      </c>
      <c r="B12" s="600"/>
      <c r="C12" s="600"/>
      <c r="D12" s="243"/>
      <c r="E12" s="244"/>
      <c r="F12" s="362"/>
      <c r="G12" s="245"/>
      <c r="H12" s="242">
        <v>50000</v>
      </c>
      <c r="I12" s="242">
        <v>50000</v>
      </c>
      <c r="J12" s="244"/>
      <c r="K12" s="245"/>
      <c r="L12" s="244"/>
      <c r="M12" s="362"/>
      <c r="N12" s="245"/>
    </row>
    <row r="13" spans="1:14" ht="14.25">
      <c r="A13" s="601" t="s">
        <v>507</v>
      </c>
      <c r="B13" s="601"/>
      <c r="C13" s="601"/>
      <c r="D13" s="363"/>
      <c r="E13" s="364"/>
      <c r="F13" s="365"/>
      <c r="G13" s="366"/>
      <c r="H13" s="367">
        <v>50000</v>
      </c>
      <c r="I13" s="367">
        <v>50000</v>
      </c>
      <c r="J13" s="364"/>
      <c r="K13" s="366"/>
      <c r="L13" s="364"/>
      <c r="M13" s="365"/>
      <c r="N13" s="366"/>
    </row>
    <row r="14" spans="1:14" ht="14.25">
      <c r="A14" s="599" t="s">
        <v>508</v>
      </c>
      <c r="B14" s="599"/>
      <c r="C14" s="599"/>
      <c r="D14" s="246"/>
      <c r="E14" s="248"/>
      <c r="F14" s="368"/>
      <c r="G14" s="247"/>
      <c r="H14" s="369">
        <v>50000</v>
      </c>
      <c r="I14" s="369">
        <v>50000</v>
      </c>
      <c r="J14" s="248"/>
      <c r="K14" s="247"/>
      <c r="L14" s="248"/>
      <c r="M14" s="368"/>
      <c r="N14" s="247"/>
    </row>
    <row r="15" spans="1:14" ht="14.25">
      <c r="A15" s="600" t="s">
        <v>207</v>
      </c>
      <c r="B15" s="600"/>
      <c r="C15" s="600"/>
      <c r="D15" s="242">
        <v>5638144.41</v>
      </c>
      <c r="E15" s="244"/>
      <c r="F15" s="362"/>
      <c r="G15" s="245"/>
      <c r="H15" s="242">
        <v>52950112.77</v>
      </c>
      <c r="I15" s="242">
        <v>52703503.74</v>
      </c>
      <c r="J15" s="580">
        <v>5884753.44</v>
      </c>
      <c r="K15" s="580"/>
      <c r="L15" s="244"/>
      <c r="M15" s="362"/>
      <c r="N15" s="245"/>
    </row>
    <row r="16" spans="1:14" ht="14.25">
      <c r="A16" s="601" t="s">
        <v>509</v>
      </c>
      <c r="B16" s="601"/>
      <c r="C16" s="601"/>
      <c r="D16" s="367">
        <v>5638144.41</v>
      </c>
      <c r="E16" s="364"/>
      <c r="F16" s="365"/>
      <c r="G16" s="366"/>
      <c r="H16" s="367">
        <v>52950112.77</v>
      </c>
      <c r="I16" s="367">
        <v>52703503.74</v>
      </c>
      <c r="J16" s="579">
        <v>5884753.44</v>
      </c>
      <c r="K16" s="579"/>
      <c r="L16" s="364"/>
      <c r="M16" s="365"/>
      <c r="N16" s="366"/>
    </row>
    <row r="17" spans="1:14" ht="14.25">
      <c r="A17" s="599" t="s">
        <v>510</v>
      </c>
      <c r="B17" s="599"/>
      <c r="C17" s="599"/>
      <c r="D17" s="369">
        <v>5638144.41</v>
      </c>
      <c r="E17" s="248"/>
      <c r="F17" s="368"/>
      <c r="G17" s="247"/>
      <c r="H17" s="247"/>
      <c r="I17" s="369">
        <v>5638144.41</v>
      </c>
      <c r="J17" s="248"/>
      <c r="K17" s="247"/>
      <c r="L17" s="248"/>
      <c r="M17" s="368"/>
      <c r="N17" s="247"/>
    </row>
    <row r="18" spans="1:14" ht="14.25">
      <c r="A18" s="599" t="s">
        <v>511</v>
      </c>
      <c r="B18" s="599"/>
      <c r="C18" s="599"/>
      <c r="D18" s="246"/>
      <c r="E18" s="248"/>
      <c r="F18" s="368"/>
      <c r="G18" s="247"/>
      <c r="H18" s="369">
        <v>6571481.56</v>
      </c>
      <c r="I18" s="369">
        <v>6571481.56</v>
      </c>
      <c r="J18" s="248"/>
      <c r="K18" s="247"/>
      <c r="L18" s="248"/>
      <c r="M18" s="368"/>
      <c r="N18" s="247"/>
    </row>
    <row r="19" spans="1:14" ht="14.25">
      <c r="A19" s="599" t="s">
        <v>512</v>
      </c>
      <c r="B19" s="599"/>
      <c r="C19" s="599"/>
      <c r="D19" s="246"/>
      <c r="E19" s="248"/>
      <c r="F19" s="368"/>
      <c r="G19" s="247"/>
      <c r="H19" s="369">
        <v>5771091.36</v>
      </c>
      <c r="I19" s="369">
        <v>5771091.36</v>
      </c>
      <c r="J19" s="248"/>
      <c r="K19" s="247"/>
      <c r="L19" s="248"/>
      <c r="M19" s="368"/>
      <c r="N19" s="247"/>
    </row>
    <row r="20" spans="1:14" ht="14.25">
      <c r="A20" s="599" t="s">
        <v>513</v>
      </c>
      <c r="B20" s="599"/>
      <c r="C20" s="599"/>
      <c r="D20" s="246"/>
      <c r="E20" s="248"/>
      <c r="F20" s="368"/>
      <c r="G20" s="247"/>
      <c r="H20" s="369">
        <v>5459097.5</v>
      </c>
      <c r="I20" s="369">
        <v>5459097.5</v>
      </c>
      <c r="J20" s="248"/>
      <c r="K20" s="247"/>
      <c r="L20" s="248"/>
      <c r="M20" s="368"/>
      <c r="N20" s="247"/>
    </row>
    <row r="21" spans="1:14" ht="14.25">
      <c r="A21" s="599" t="s">
        <v>514</v>
      </c>
      <c r="B21" s="599"/>
      <c r="C21" s="599"/>
      <c r="D21" s="246"/>
      <c r="E21" s="248"/>
      <c r="F21" s="368"/>
      <c r="G21" s="247"/>
      <c r="H21" s="369">
        <v>4447739.72</v>
      </c>
      <c r="I21" s="369">
        <v>4447739.72</v>
      </c>
      <c r="J21" s="248"/>
      <c r="K21" s="247"/>
      <c r="L21" s="248"/>
      <c r="M21" s="368"/>
      <c r="N21" s="247"/>
    </row>
    <row r="22" spans="1:14" ht="14.25">
      <c r="A22" s="599" t="s">
        <v>515</v>
      </c>
      <c r="B22" s="599"/>
      <c r="C22" s="599"/>
      <c r="D22" s="246"/>
      <c r="E22" s="248"/>
      <c r="F22" s="368"/>
      <c r="G22" s="247"/>
      <c r="H22" s="369">
        <v>2955816.61</v>
      </c>
      <c r="I22" s="369">
        <v>2955816.61</v>
      </c>
      <c r="J22" s="248"/>
      <c r="K22" s="247"/>
      <c r="L22" s="248"/>
      <c r="M22" s="368"/>
      <c r="N22" s="247"/>
    </row>
    <row r="23" spans="1:14" ht="14.25">
      <c r="A23" s="599" t="s">
        <v>516</v>
      </c>
      <c r="B23" s="599"/>
      <c r="C23" s="599"/>
      <c r="D23" s="246"/>
      <c r="E23" s="248"/>
      <c r="F23" s="368"/>
      <c r="G23" s="247"/>
      <c r="H23" s="369">
        <v>2888897.28</v>
      </c>
      <c r="I23" s="369">
        <v>2888897.28</v>
      </c>
      <c r="J23" s="248"/>
      <c r="K23" s="247"/>
      <c r="L23" s="248"/>
      <c r="M23" s="368"/>
      <c r="N23" s="247"/>
    </row>
    <row r="24" spans="1:14" ht="14.25">
      <c r="A24" s="599" t="s">
        <v>517</v>
      </c>
      <c r="B24" s="599"/>
      <c r="C24" s="599"/>
      <c r="D24" s="246"/>
      <c r="E24" s="248"/>
      <c r="F24" s="368"/>
      <c r="G24" s="247"/>
      <c r="H24" s="369">
        <v>2916607.89</v>
      </c>
      <c r="I24" s="369">
        <v>2916607.89</v>
      </c>
      <c r="J24" s="248"/>
      <c r="K24" s="247"/>
      <c r="L24" s="248"/>
      <c r="M24" s="368"/>
      <c r="N24" s="247"/>
    </row>
    <row r="25" spans="1:14" ht="14.25">
      <c r="A25" s="599" t="s">
        <v>518</v>
      </c>
      <c r="B25" s="599"/>
      <c r="C25" s="599"/>
      <c r="D25" s="246"/>
      <c r="E25" s="248"/>
      <c r="F25" s="368"/>
      <c r="G25" s="247"/>
      <c r="H25" s="369">
        <v>3058605.76</v>
      </c>
      <c r="I25" s="369">
        <v>3058605.76</v>
      </c>
      <c r="J25" s="248"/>
      <c r="K25" s="247"/>
      <c r="L25" s="248"/>
      <c r="M25" s="368"/>
      <c r="N25" s="247"/>
    </row>
    <row r="26" spans="1:14" ht="14.25">
      <c r="A26" s="599" t="s">
        <v>519</v>
      </c>
      <c r="B26" s="599"/>
      <c r="C26" s="599"/>
      <c r="D26" s="246"/>
      <c r="E26" s="248"/>
      <c r="F26" s="368"/>
      <c r="G26" s="247"/>
      <c r="H26" s="369">
        <v>3345744.61</v>
      </c>
      <c r="I26" s="369">
        <v>3345744.61</v>
      </c>
      <c r="J26" s="248"/>
      <c r="K26" s="247"/>
      <c r="L26" s="248"/>
      <c r="M26" s="368"/>
      <c r="N26" s="247"/>
    </row>
    <row r="27" spans="1:14" ht="14.25">
      <c r="A27" s="599" t="s">
        <v>520</v>
      </c>
      <c r="B27" s="599"/>
      <c r="C27" s="599"/>
      <c r="D27" s="246"/>
      <c r="E27" s="248"/>
      <c r="F27" s="368"/>
      <c r="G27" s="247"/>
      <c r="H27" s="369">
        <v>4408837.46</v>
      </c>
      <c r="I27" s="369">
        <v>4408837.46</v>
      </c>
      <c r="J27" s="248"/>
      <c r="K27" s="247"/>
      <c r="L27" s="248"/>
      <c r="M27" s="368"/>
      <c r="N27" s="247"/>
    </row>
    <row r="28" spans="1:14" ht="14.25">
      <c r="A28" s="599" t="s">
        <v>521</v>
      </c>
      <c r="B28" s="599"/>
      <c r="C28" s="599"/>
      <c r="D28" s="246"/>
      <c r="E28" s="248"/>
      <c r="F28" s="368"/>
      <c r="G28" s="247"/>
      <c r="H28" s="369">
        <v>5241439.58</v>
      </c>
      <c r="I28" s="369">
        <v>5241439.58</v>
      </c>
      <c r="J28" s="248"/>
      <c r="K28" s="247"/>
      <c r="L28" s="248"/>
      <c r="M28" s="368"/>
      <c r="N28" s="247"/>
    </row>
    <row r="29" spans="1:14" ht="14.25">
      <c r="A29" s="599" t="s">
        <v>522</v>
      </c>
      <c r="B29" s="599"/>
      <c r="C29" s="599"/>
      <c r="D29" s="246"/>
      <c r="E29" s="248"/>
      <c r="F29" s="368"/>
      <c r="G29" s="247"/>
      <c r="H29" s="369">
        <v>5884753.44</v>
      </c>
      <c r="I29" s="246"/>
      <c r="J29" s="598">
        <v>5884753.44</v>
      </c>
      <c r="K29" s="598"/>
      <c r="L29" s="248"/>
      <c r="M29" s="368"/>
      <c r="N29" s="247"/>
    </row>
    <row r="30" spans="1:14" ht="14.25">
      <c r="A30" s="577" t="s">
        <v>291</v>
      </c>
      <c r="B30" s="577"/>
      <c r="C30" s="577"/>
      <c r="D30" s="370">
        <v>5638144.41</v>
      </c>
      <c r="E30" s="371"/>
      <c r="F30" s="372"/>
      <c r="G30" s="373"/>
      <c r="H30" s="370">
        <v>53000112.77</v>
      </c>
      <c r="I30" s="370">
        <v>52753503.74</v>
      </c>
      <c r="J30" s="578">
        <v>5884753.44</v>
      </c>
      <c r="K30" s="578"/>
      <c r="L30" s="371"/>
      <c r="M30" s="372"/>
      <c r="N30" s="373"/>
    </row>
  </sheetData>
  <sheetProtection/>
  <mergeCells count="41">
    <mergeCell ref="L7:N9"/>
    <mergeCell ref="A8:C8"/>
    <mergeCell ref="A1:M1"/>
    <mergeCell ref="A2:M2"/>
    <mergeCell ref="B4:M4"/>
    <mergeCell ref="A6:C6"/>
    <mergeCell ref="D6:G6"/>
    <mergeCell ref="J6:N6"/>
    <mergeCell ref="A9:C9"/>
    <mergeCell ref="A10:C10"/>
    <mergeCell ref="J10:K10"/>
    <mergeCell ref="A7:C7"/>
    <mergeCell ref="D7:D9"/>
    <mergeCell ref="E7:G9"/>
    <mergeCell ref="I7:I9"/>
    <mergeCell ref="J7:K9"/>
    <mergeCell ref="J15:K15"/>
    <mergeCell ref="A16:C16"/>
    <mergeCell ref="J16:K16"/>
    <mergeCell ref="A11:C11"/>
    <mergeCell ref="J11:K11"/>
    <mergeCell ref="A12:C12"/>
    <mergeCell ref="A13:C13"/>
    <mergeCell ref="A17:C17"/>
    <mergeCell ref="A18:C18"/>
    <mergeCell ref="A19:C19"/>
    <mergeCell ref="A20:C20"/>
    <mergeCell ref="A14:C14"/>
    <mergeCell ref="A15:C15"/>
    <mergeCell ref="A24:C24"/>
    <mergeCell ref="A25:C25"/>
    <mergeCell ref="A26:C26"/>
    <mergeCell ref="A21:C21"/>
    <mergeCell ref="A22:C22"/>
    <mergeCell ref="A23:C23"/>
    <mergeCell ref="J29:K29"/>
    <mergeCell ref="A30:C30"/>
    <mergeCell ref="J30:K30"/>
    <mergeCell ref="A27:C27"/>
    <mergeCell ref="A28:C28"/>
    <mergeCell ref="A29:C2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60"/>
  <sheetViews>
    <sheetView zoomScaleSheetLayoutView="110" workbookViewId="0" topLeftCell="A37">
      <selection activeCell="G48" sqref="G48"/>
    </sheetView>
  </sheetViews>
  <sheetFormatPr defaultColWidth="9.00390625" defaultRowHeight="15" outlineLevelCol="1"/>
  <cols>
    <col min="1" max="1" width="4.7109375" style="1" customWidth="1"/>
    <col min="2" max="2" width="0.42578125" style="1" customWidth="1"/>
    <col min="3" max="3" width="42.421875" style="1" customWidth="1"/>
    <col min="4" max="4" width="7.7109375" style="1" customWidth="1"/>
    <col min="5" max="6" width="11.7109375" style="1" hidden="1" customWidth="1" outlineLevel="1"/>
    <col min="7" max="7" width="11.7109375" style="1" customWidth="1" collapsed="1"/>
    <col min="8" max="8" width="11.7109375" style="1" customWidth="1"/>
    <col min="9" max="10" width="10.00390625" style="1" customWidth="1"/>
    <col min="11" max="14" width="9.8515625" style="1" bestFit="1" customWidth="1"/>
    <col min="15" max="16384" width="9.00390625" style="1" customWidth="1"/>
  </cols>
  <sheetData>
    <row r="1" ht="12.75">
      <c r="G1" s="11" t="s">
        <v>440</v>
      </c>
    </row>
    <row r="2" spans="3:8" ht="1.5" customHeight="1">
      <c r="C2" s="19"/>
      <c r="D2" s="19"/>
      <c r="E2" s="19"/>
      <c r="F2" s="19"/>
      <c r="G2" s="19"/>
      <c r="H2" s="19"/>
    </row>
    <row r="3" spans="1:8" ht="18.75" customHeight="1">
      <c r="A3" s="640" t="s">
        <v>439</v>
      </c>
      <c r="B3" s="640"/>
      <c r="C3" s="640"/>
      <c r="D3" s="640"/>
      <c r="E3" s="640"/>
      <c r="F3" s="640"/>
      <c r="G3" s="640"/>
      <c r="H3" s="640"/>
    </row>
    <row r="4" ht="1.5" customHeight="1"/>
    <row r="5" spans="1:14" ht="57.75" customHeight="1">
      <c r="A5" s="10" t="s">
        <v>367</v>
      </c>
      <c r="B5" s="641" t="s">
        <v>438</v>
      </c>
      <c r="C5" s="642"/>
      <c r="D5" s="10" t="s">
        <v>437</v>
      </c>
      <c r="E5" s="88" t="s">
        <v>224</v>
      </c>
      <c r="F5" s="88" t="s">
        <v>229</v>
      </c>
      <c r="G5" s="88" t="s">
        <v>483</v>
      </c>
      <c r="H5" s="435" t="s">
        <v>541</v>
      </c>
      <c r="I5" s="441" t="s">
        <v>547</v>
      </c>
      <c r="J5" s="435" t="s">
        <v>635</v>
      </c>
      <c r="K5" s="501" t="s">
        <v>547</v>
      </c>
      <c r="L5" s="501" t="s">
        <v>547</v>
      </c>
      <c r="M5" s="501" t="s">
        <v>547</v>
      </c>
      <c r="N5" s="501" t="s">
        <v>547</v>
      </c>
    </row>
    <row r="6" spans="1:14" ht="12.75">
      <c r="A6" s="18">
        <v>1</v>
      </c>
      <c r="B6" s="643">
        <v>2</v>
      </c>
      <c r="C6" s="644"/>
      <c r="D6" s="9">
        <v>3</v>
      </c>
      <c r="E6" s="9">
        <v>4</v>
      </c>
      <c r="F6" s="9">
        <v>5</v>
      </c>
      <c r="G6" s="344">
        <v>6</v>
      </c>
      <c r="H6" s="315">
        <v>7</v>
      </c>
      <c r="I6" s="400">
        <v>8</v>
      </c>
      <c r="J6" s="401"/>
      <c r="K6" s="480">
        <v>9</v>
      </c>
      <c r="L6" s="499">
        <v>10</v>
      </c>
      <c r="M6" s="480">
        <v>11</v>
      </c>
      <c r="N6" s="499">
        <v>12</v>
      </c>
    </row>
    <row r="7" spans="1:14" ht="12.75">
      <c r="A7" s="7">
        <v>1</v>
      </c>
      <c r="B7" s="3"/>
      <c r="C7" s="5" t="s">
        <v>436</v>
      </c>
      <c r="D7" s="9"/>
      <c r="E7" s="9">
        <v>7</v>
      </c>
      <c r="F7" s="9">
        <v>6</v>
      </c>
      <c r="G7" s="9">
        <v>7</v>
      </c>
      <c r="H7" s="315">
        <f>G7</f>
        <v>7</v>
      </c>
      <c r="I7" s="405">
        <v>8</v>
      </c>
      <c r="J7" s="315">
        <v>8</v>
      </c>
      <c r="K7" s="480">
        <v>8</v>
      </c>
      <c r="L7" s="480">
        <v>9</v>
      </c>
      <c r="M7" s="480">
        <v>9</v>
      </c>
      <c r="N7" s="480">
        <v>9</v>
      </c>
    </row>
    <row r="8" spans="1:14" ht="12.75">
      <c r="A8" s="7"/>
      <c r="B8" s="3"/>
      <c r="C8" s="5" t="s">
        <v>435</v>
      </c>
      <c r="D8" s="9" t="s">
        <v>375</v>
      </c>
      <c r="E8" s="9"/>
      <c r="F8" s="9"/>
      <c r="G8" s="9"/>
      <c r="H8" s="315">
        <f>G8</f>
        <v>0</v>
      </c>
      <c r="I8" s="405">
        <f aca="true" t="shared" si="0" ref="I8:N9">H8</f>
        <v>0</v>
      </c>
      <c r="J8" s="315"/>
      <c r="K8" s="480">
        <f>I8</f>
        <v>0</v>
      </c>
      <c r="L8" s="480">
        <f t="shared" si="0"/>
        <v>0</v>
      </c>
      <c r="M8" s="480">
        <f t="shared" si="0"/>
        <v>0</v>
      </c>
      <c r="N8" s="480">
        <f t="shared" si="0"/>
        <v>0</v>
      </c>
    </row>
    <row r="9" spans="1:14" ht="12.75">
      <c r="A9" s="7">
        <v>2</v>
      </c>
      <c r="B9" s="3"/>
      <c r="C9" s="5" t="s">
        <v>434</v>
      </c>
      <c r="D9" s="9"/>
      <c r="E9" s="9"/>
      <c r="F9" s="9"/>
      <c r="G9" s="9"/>
      <c r="H9" s="315">
        <f>G9</f>
        <v>0</v>
      </c>
      <c r="I9" s="405">
        <f t="shared" si="0"/>
        <v>0</v>
      </c>
      <c r="J9" s="315"/>
      <c r="K9" s="480">
        <f>I9</f>
        <v>0</v>
      </c>
      <c r="L9" s="480">
        <f t="shared" si="0"/>
        <v>0</v>
      </c>
      <c r="M9" s="480">
        <f t="shared" si="0"/>
        <v>0</v>
      </c>
      <c r="N9" s="480">
        <f t="shared" si="0"/>
        <v>0</v>
      </c>
    </row>
    <row r="10" spans="1:14" ht="12.75">
      <c r="A10" s="7" t="s">
        <v>433</v>
      </c>
      <c r="B10" s="3"/>
      <c r="C10" s="5" t="s">
        <v>432</v>
      </c>
      <c r="D10" s="9" t="s">
        <v>368</v>
      </c>
      <c r="E10" s="9">
        <v>6643</v>
      </c>
      <c r="F10" s="9">
        <v>6805.52</v>
      </c>
      <c r="G10" s="422">
        <v>6183.3633</v>
      </c>
      <c r="H10" s="509">
        <v>6785.793233</v>
      </c>
      <c r="I10" s="510">
        <v>7939.382</v>
      </c>
      <c r="J10" s="509">
        <v>7854</v>
      </c>
      <c r="K10" s="511">
        <v>7339.382</v>
      </c>
      <c r="L10" s="511">
        <v>7339.982</v>
      </c>
      <c r="M10" s="511" t="e">
        <f>L10*(1+M50/100)</f>
        <v>#REF!</v>
      </c>
      <c r="N10" s="511" t="e">
        <f>M10*(1+N50/100)</f>
        <v>#REF!</v>
      </c>
    </row>
    <row r="11" spans="1:14" ht="12.75">
      <c r="A11" s="7" t="s">
        <v>431</v>
      </c>
      <c r="B11" s="3"/>
      <c r="C11" s="5" t="s">
        <v>430</v>
      </c>
      <c r="D11" s="9"/>
      <c r="E11" s="9">
        <v>107.4</v>
      </c>
      <c r="F11" s="9">
        <v>107.4</v>
      </c>
      <c r="G11" s="18">
        <v>105.4</v>
      </c>
      <c r="H11" s="315">
        <f>G11</f>
        <v>105.4</v>
      </c>
      <c r="I11" s="405">
        <f aca="true" t="shared" si="1" ref="I11:N11">H11</f>
        <v>105.4</v>
      </c>
      <c r="J11" s="315">
        <v>1.046</v>
      </c>
      <c r="K11" s="480">
        <f>I11</f>
        <v>105.4</v>
      </c>
      <c r="L11" s="480">
        <f t="shared" si="1"/>
        <v>105.4</v>
      </c>
      <c r="M11" s="480">
        <f t="shared" si="1"/>
        <v>105.4</v>
      </c>
      <c r="N11" s="480">
        <f t="shared" si="1"/>
        <v>105.4</v>
      </c>
    </row>
    <row r="12" spans="1:14" ht="25.5">
      <c r="A12" s="7" t="s">
        <v>429</v>
      </c>
      <c r="B12" s="3"/>
      <c r="C12" s="5" t="s">
        <v>428</v>
      </c>
      <c r="D12" s="9" t="s">
        <v>368</v>
      </c>
      <c r="E12" s="423">
        <f aca="true" t="shared" si="2" ref="E12:N12">E10*E11/100</f>
        <v>7134.582</v>
      </c>
      <c r="F12" s="423">
        <f t="shared" si="2"/>
        <v>7309.128480000001</v>
      </c>
      <c r="G12" s="424">
        <f t="shared" si="2"/>
        <v>6517.2649182</v>
      </c>
      <c r="H12" s="436">
        <f t="shared" si="2"/>
        <v>7152.226067582001</v>
      </c>
      <c r="I12" s="442">
        <f t="shared" si="2"/>
        <v>8368.108628</v>
      </c>
      <c r="J12" s="436">
        <f>J10*J11</f>
        <v>8215.284</v>
      </c>
      <c r="K12" s="502">
        <f t="shared" si="2"/>
        <v>7735.708628</v>
      </c>
      <c r="L12" s="502">
        <f t="shared" si="2"/>
        <v>7736.341028</v>
      </c>
      <c r="M12" s="502" t="e">
        <f t="shared" si="2"/>
        <v>#REF!</v>
      </c>
      <c r="N12" s="502" t="e">
        <f t="shared" si="2"/>
        <v>#REF!</v>
      </c>
    </row>
    <row r="13" spans="1:14" ht="12.75">
      <c r="A13" s="7" t="s">
        <v>427</v>
      </c>
      <c r="B13" s="3"/>
      <c r="C13" s="5" t="s">
        <v>426</v>
      </c>
      <c r="D13" s="9"/>
      <c r="E13" s="9">
        <v>9</v>
      </c>
      <c r="F13" s="9">
        <v>9</v>
      </c>
      <c r="G13" s="18">
        <f>E13</f>
        <v>9</v>
      </c>
      <c r="H13" s="315">
        <f>G13</f>
        <v>9</v>
      </c>
      <c r="I13" s="405">
        <f aca="true" t="shared" si="3" ref="I13:N13">H13</f>
        <v>9</v>
      </c>
      <c r="J13" s="315">
        <v>7</v>
      </c>
      <c r="K13" s="480">
        <f>I13</f>
        <v>9</v>
      </c>
      <c r="L13" s="480">
        <f t="shared" si="3"/>
        <v>9</v>
      </c>
      <c r="M13" s="480">
        <f t="shared" si="3"/>
        <v>9</v>
      </c>
      <c r="N13" s="480">
        <f t="shared" si="3"/>
        <v>9</v>
      </c>
    </row>
    <row r="14" spans="1:14" ht="38.25">
      <c r="A14" s="17" t="s">
        <v>425</v>
      </c>
      <c r="B14" s="3"/>
      <c r="C14" s="5" t="s">
        <v>424</v>
      </c>
      <c r="D14" s="15" t="s">
        <v>368</v>
      </c>
      <c r="E14" s="15">
        <v>2.89</v>
      </c>
      <c r="F14" s="15">
        <v>2.89</v>
      </c>
      <c r="G14" s="425">
        <f>E14</f>
        <v>2.89</v>
      </c>
      <c r="H14" s="437">
        <f>F14</f>
        <v>2.89</v>
      </c>
      <c r="I14" s="443">
        <f>G14</f>
        <v>2.89</v>
      </c>
      <c r="J14" s="437">
        <v>2.62</v>
      </c>
      <c r="K14" s="503">
        <f>H14</f>
        <v>2.89</v>
      </c>
      <c r="L14" s="503">
        <f>I14</f>
        <v>2.89</v>
      </c>
      <c r="M14" s="503">
        <f>K14</f>
        <v>2.89</v>
      </c>
      <c r="N14" s="503">
        <f>L14</f>
        <v>2.89</v>
      </c>
    </row>
    <row r="15" spans="1:14" ht="12.75">
      <c r="A15" s="7" t="s">
        <v>423</v>
      </c>
      <c r="B15" s="3"/>
      <c r="C15" s="5" t="s">
        <v>422</v>
      </c>
      <c r="D15" s="9" t="s">
        <v>368</v>
      </c>
      <c r="E15" s="423">
        <f aca="true" t="shared" si="4" ref="E15:N15">E12*E14</f>
        <v>20618.941980000003</v>
      </c>
      <c r="F15" s="423">
        <f t="shared" si="4"/>
        <v>21123.381307200005</v>
      </c>
      <c r="G15" s="424">
        <f t="shared" si="4"/>
        <v>18834.895613598</v>
      </c>
      <c r="H15" s="436">
        <f t="shared" si="4"/>
        <v>20669.933335311984</v>
      </c>
      <c r="I15" s="442">
        <f t="shared" si="4"/>
        <v>24183.83393492</v>
      </c>
      <c r="J15" s="436">
        <f>J12*J14</f>
        <v>21524.04408</v>
      </c>
      <c r="K15" s="502">
        <f t="shared" si="4"/>
        <v>22356.19793492</v>
      </c>
      <c r="L15" s="502">
        <f t="shared" si="4"/>
        <v>22358.02557092</v>
      </c>
      <c r="M15" s="502" t="e">
        <f t="shared" si="4"/>
        <v>#REF!</v>
      </c>
      <c r="N15" s="502" t="e">
        <f t="shared" si="4"/>
        <v>#REF!</v>
      </c>
    </row>
    <row r="16" spans="1:14" ht="25.5">
      <c r="A16" s="17" t="s">
        <v>421</v>
      </c>
      <c r="B16" s="3"/>
      <c r="C16" s="5" t="s">
        <v>420</v>
      </c>
      <c r="D16" s="15"/>
      <c r="E16" s="15"/>
      <c r="F16" s="15"/>
      <c r="G16" s="425"/>
      <c r="H16" s="315">
        <f>G16</f>
        <v>0</v>
      </c>
      <c r="I16" s="405">
        <f aca="true" t="shared" si="5" ref="I16:N16">H16</f>
        <v>0</v>
      </c>
      <c r="J16" s="315"/>
      <c r="K16" s="480">
        <f>I16</f>
        <v>0</v>
      </c>
      <c r="L16" s="480">
        <f t="shared" si="5"/>
        <v>0</v>
      </c>
      <c r="M16" s="480">
        <f t="shared" si="5"/>
        <v>0</v>
      </c>
      <c r="N16" s="480">
        <f t="shared" si="5"/>
        <v>0</v>
      </c>
    </row>
    <row r="17" spans="1:14" ht="12.75">
      <c r="A17" s="17" t="s">
        <v>419</v>
      </c>
      <c r="B17" s="3"/>
      <c r="C17" s="5" t="s">
        <v>402</v>
      </c>
      <c r="D17" s="9" t="s">
        <v>401</v>
      </c>
      <c r="E17" s="426">
        <v>0.125</v>
      </c>
      <c r="F17" s="426">
        <v>0.125</v>
      </c>
      <c r="G17" s="427">
        <f>E17</f>
        <v>0.125</v>
      </c>
      <c r="H17" s="438">
        <f>F17</f>
        <v>0.125</v>
      </c>
      <c r="I17" s="444">
        <f>G17</f>
        <v>0.125</v>
      </c>
      <c r="J17" s="438">
        <v>0.125</v>
      </c>
      <c r="K17" s="504">
        <f>H17</f>
        <v>0.125</v>
      </c>
      <c r="L17" s="504">
        <f>I17</f>
        <v>0.125</v>
      </c>
      <c r="M17" s="504">
        <f>K17</f>
        <v>0.125</v>
      </c>
      <c r="N17" s="504">
        <f>L17</f>
        <v>0.125</v>
      </c>
    </row>
    <row r="18" spans="1:14" ht="12.75">
      <c r="A18" s="17" t="s">
        <v>418</v>
      </c>
      <c r="B18" s="3"/>
      <c r="C18" s="5" t="s">
        <v>399</v>
      </c>
      <c r="D18" s="9" t="s">
        <v>368</v>
      </c>
      <c r="E18" s="423">
        <f aca="true" t="shared" si="6" ref="E18:N18">E15*E17</f>
        <v>2577.3677475000004</v>
      </c>
      <c r="F18" s="423">
        <f t="shared" si="6"/>
        <v>2640.4226634000006</v>
      </c>
      <c r="G18" s="424">
        <f t="shared" si="6"/>
        <v>2354.36195169975</v>
      </c>
      <c r="H18" s="436">
        <f t="shared" si="6"/>
        <v>2583.741666913998</v>
      </c>
      <c r="I18" s="442">
        <f t="shared" si="6"/>
        <v>3022.979241865</v>
      </c>
      <c r="J18" s="436">
        <f t="shared" si="6"/>
        <v>2690.50551</v>
      </c>
      <c r="K18" s="502">
        <f t="shared" si="6"/>
        <v>2794.524741865</v>
      </c>
      <c r="L18" s="502">
        <f t="shared" si="6"/>
        <v>2794.753196365</v>
      </c>
      <c r="M18" s="502" t="e">
        <f t="shared" si="6"/>
        <v>#REF!</v>
      </c>
      <c r="N18" s="502" t="e">
        <f t="shared" si="6"/>
        <v>#REF!</v>
      </c>
    </row>
    <row r="19" spans="1:14" ht="12.75">
      <c r="A19" s="17" t="s">
        <v>417</v>
      </c>
      <c r="B19" s="3"/>
      <c r="C19" s="5" t="s">
        <v>416</v>
      </c>
      <c r="D19" s="9"/>
      <c r="E19" s="402"/>
      <c r="F19" s="402"/>
      <c r="G19" s="402"/>
      <c r="H19" s="315">
        <f>G19</f>
        <v>0</v>
      </c>
      <c r="I19" s="405">
        <f aca="true" t="shared" si="7" ref="I19:N19">H19</f>
        <v>0</v>
      </c>
      <c r="J19" s="405"/>
      <c r="K19" s="480">
        <f>I19</f>
        <v>0</v>
      </c>
      <c r="L19" s="480">
        <f t="shared" si="7"/>
        <v>0</v>
      </c>
      <c r="M19" s="480">
        <f t="shared" si="7"/>
        <v>0</v>
      </c>
      <c r="N19" s="480">
        <f t="shared" si="7"/>
        <v>0</v>
      </c>
    </row>
    <row r="20" spans="1:14" ht="12.75">
      <c r="A20" s="17" t="s">
        <v>415</v>
      </c>
      <c r="B20" s="3"/>
      <c r="C20" s="5" t="s">
        <v>402</v>
      </c>
      <c r="D20" s="9" t="s">
        <v>401</v>
      </c>
      <c r="E20" s="428">
        <v>0.75</v>
      </c>
      <c r="F20" s="428">
        <v>0.75</v>
      </c>
      <c r="G20" s="429">
        <f>E20</f>
        <v>0.75</v>
      </c>
      <c r="H20" s="439">
        <f>F20</f>
        <v>0.75</v>
      </c>
      <c r="I20" s="445">
        <f>G20</f>
        <v>0.75</v>
      </c>
      <c r="J20" s="439">
        <f>H20</f>
        <v>0.75</v>
      </c>
      <c r="K20" s="505">
        <f>H20</f>
        <v>0.75</v>
      </c>
      <c r="L20" s="505">
        <f>I20</f>
        <v>0.75</v>
      </c>
      <c r="M20" s="505">
        <f>K20</f>
        <v>0.75</v>
      </c>
      <c r="N20" s="505">
        <f>L20</f>
        <v>0.75</v>
      </c>
    </row>
    <row r="21" spans="1:14" ht="12.75">
      <c r="A21" s="17" t="s">
        <v>414</v>
      </c>
      <c r="B21" s="3"/>
      <c r="C21" s="5" t="s">
        <v>399</v>
      </c>
      <c r="D21" s="9" t="s">
        <v>368</v>
      </c>
      <c r="E21" s="423">
        <f aca="true" t="shared" si="8" ref="E21:N21">ROUND(E15*E20,1)</f>
        <v>15464.2</v>
      </c>
      <c r="F21" s="423">
        <f t="shared" si="8"/>
        <v>15842.5</v>
      </c>
      <c r="G21" s="423">
        <f t="shared" si="8"/>
        <v>14126.2</v>
      </c>
      <c r="H21" s="316">
        <f t="shared" si="8"/>
        <v>15502.5</v>
      </c>
      <c r="I21" s="446">
        <f t="shared" si="8"/>
        <v>18137.9</v>
      </c>
      <c r="J21" s="316">
        <f>ROUND((J15+J18)*J20,1)</f>
        <v>18160.9</v>
      </c>
      <c r="K21" s="506">
        <f t="shared" si="8"/>
        <v>16767.1</v>
      </c>
      <c r="L21" s="506">
        <f t="shared" si="8"/>
        <v>16768.5</v>
      </c>
      <c r="M21" s="506" t="e">
        <f t="shared" si="8"/>
        <v>#REF!</v>
      </c>
      <c r="N21" s="506" t="e">
        <f t="shared" si="8"/>
        <v>#REF!</v>
      </c>
    </row>
    <row r="22" spans="1:14" ht="12.75">
      <c r="A22" s="17" t="s">
        <v>413</v>
      </c>
      <c r="B22" s="3"/>
      <c r="C22" s="5" t="s">
        <v>412</v>
      </c>
      <c r="D22" s="9"/>
      <c r="E22" s="9"/>
      <c r="F22" s="9"/>
      <c r="G22" s="9"/>
      <c r="H22" s="315"/>
      <c r="I22" s="405"/>
      <c r="J22" s="405"/>
      <c r="K22" s="480"/>
      <c r="L22" s="480"/>
      <c r="M22" s="480"/>
      <c r="N22" s="480"/>
    </row>
    <row r="23" spans="1:14" ht="12.75">
      <c r="A23" s="17" t="s">
        <v>411</v>
      </c>
      <c r="B23" s="3"/>
      <c r="C23" s="5" t="s">
        <v>402</v>
      </c>
      <c r="D23" s="9" t="s">
        <v>401</v>
      </c>
      <c r="E23" s="9"/>
      <c r="F23" s="9"/>
      <c r="G23" s="9"/>
      <c r="H23" s="514"/>
      <c r="I23" s="515"/>
      <c r="J23" s="439">
        <v>0.15</v>
      </c>
      <c r="K23" s="516"/>
      <c r="L23" s="516"/>
      <c r="M23" s="516"/>
      <c r="N23" s="516"/>
    </row>
    <row r="24" spans="1:14" ht="12.75">
      <c r="A24" s="17" t="s">
        <v>410</v>
      </c>
      <c r="B24" s="3"/>
      <c r="C24" s="5" t="s">
        <v>399</v>
      </c>
      <c r="D24" s="9" t="s">
        <v>368</v>
      </c>
      <c r="E24" s="9"/>
      <c r="F24" s="9"/>
      <c r="G24" s="9"/>
      <c r="H24" s="517"/>
      <c r="I24" s="517"/>
      <c r="J24" s="316">
        <f>J15*J23</f>
        <v>3228.606612</v>
      </c>
      <c r="K24" s="517"/>
      <c r="L24" s="517"/>
      <c r="M24" s="517"/>
      <c r="N24" s="517"/>
    </row>
    <row r="25" spans="1:14" ht="12.75">
      <c r="A25" s="17" t="s">
        <v>409</v>
      </c>
      <c r="B25" s="3"/>
      <c r="C25" s="5" t="s">
        <v>408</v>
      </c>
      <c r="D25" s="9"/>
      <c r="E25" s="9"/>
      <c r="F25" s="9"/>
      <c r="G25" s="9"/>
      <c r="H25" s="315"/>
      <c r="I25" s="405"/>
      <c r="J25" s="405"/>
      <c r="K25" s="480"/>
      <c r="L25" s="480"/>
      <c r="M25" s="480"/>
      <c r="N25" s="480"/>
    </row>
    <row r="26" spans="1:14" ht="12.75">
      <c r="A26" s="17" t="s">
        <v>407</v>
      </c>
      <c r="B26" s="3"/>
      <c r="C26" s="5" t="s">
        <v>402</v>
      </c>
      <c r="D26" s="9" t="s">
        <v>401</v>
      </c>
      <c r="E26" s="428">
        <v>0.33</v>
      </c>
      <c r="F26" s="428">
        <v>0.33</v>
      </c>
      <c r="G26" s="429">
        <f>E26</f>
        <v>0.33</v>
      </c>
      <c r="H26" s="439">
        <f>F26</f>
        <v>0.33</v>
      </c>
      <c r="I26" s="445">
        <f>G26</f>
        <v>0.33</v>
      </c>
      <c r="J26" s="439">
        <v>0.33</v>
      </c>
      <c r="K26" s="505">
        <f>H26</f>
        <v>0.33</v>
      </c>
      <c r="L26" s="505">
        <f>I26</f>
        <v>0.33</v>
      </c>
      <c r="M26" s="505">
        <f>K26</f>
        <v>0.33</v>
      </c>
      <c r="N26" s="505">
        <f>L26</f>
        <v>0.33</v>
      </c>
    </row>
    <row r="27" spans="1:14" ht="12.75">
      <c r="A27" s="17" t="s">
        <v>406</v>
      </c>
      <c r="B27" s="3"/>
      <c r="C27" s="5" t="s">
        <v>399</v>
      </c>
      <c r="D27" s="9" t="s">
        <v>368</v>
      </c>
      <c r="E27" s="423">
        <f aca="true" t="shared" si="9" ref="E27:N27">E15*E26</f>
        <v>6804.250853400002</v>
      </c>
      <c r="F27" s="423">
        <f t="shared" si="9"/>
        <v>6970.715831376002</v>
      </c>
      <c r="G27" s="424">
        <f t="shared" si="9"/>
        <v>6215.515552487341</v>
      </c>
      <c r="H27" s="436">
        <f t="shared" si="9"/>
        <v>6821.078000652955</v>
      </c>
      <c r="I27" s="442">
        <f t="shared" si="9"/>
        <v>7980.6651985236</v>
      </c>
      <c r="J27" s="436">
        <f>J15*J26</f>
        <v>7102.9345464</v>
      </c>
      <c r="K27" s="502">
        <f t="shared" si="9"/>
        <v>7377.545318523601</v>
      </c>
      <c r="L27" s="502">
        <f t="shared" si="9"/>
        <v>7378.1484384036</v>
      </c>
      <c r="M27" s="502" t="e">
        <f t="shared" si="9"/>
        <v>#REF!</v>
      </c>
      <c r="N27" s="502" t="e">
        <f t="shared" si="9"/>
        <v>#REF!</v>
      </c>
    </row>
    <row r="28" spans="1:14" ht="12.75" customHeight="1">
      <c r="A28" s="17" t="s">
        <v>405</v>
      </c>
      <c r="B28" s="3"/>
      <c r="C28" s="5" t="s">
        <v>404</v>
      </c>
      <c r="D28" s="15"/>
      <c r="E28" s="15"/>
      <c r="F28" s="15"/>
      <c r="G28" s="425"/>
      <c r="H28" s="315"/>
      <c r="I28" s="405"/>
      <c r="J28" s="405"/>
      <c r="K28" s="480"/>
      <c r="L28" s="480"/>
      <c r="M28" s="480"/>
      <c r="N28" s="480"/>
    </row>
    <row r="29" spans="1:14" ht="12.75">
      <c r="A29" s="17" t="s">
        <v>403</v>
      </c>
      <c r="B29" s="3"/>
      <c r="C29" s="5" t="s">
        <v>402</v>
      </c>
      <c r="D29" s="9" t="s">
        <v>401</v>
      </c>
      <c r="E29" s="9"/>
      <c r="F29" s="9"/>
      <c r="G29" s="18"/>
      <c r="H29" s="315"/>
      <c r="I29" s="405"/>
      <c r="J29" s="405"/>
      <c r="K29" s="480"/>
      <c r="L29" s="480"/>
      <c r="M29" s="480"/>
      <c r="N29" s="480"/>
    </row>
    <row r="30" spans="1:14" ht="12.75">
      <c r="A30" s="17" t="s">
        <v>400</v>
      </c>
      <c r="B30" s="3"/>
      <c r="C30" s="5" t="s">
        <v>399</v>
      </c>
      <c r="D30" s="9" t="s">
        <v>368</v>
      </c>
      <c r="E30" s="9"/>
      <c r="F30" s="9"/>
      <c r="G30" s="18"/>
      <c r="H30" s="315"/>
      <c r="I30" s="405"/>
      <c r="J30" s="405"/>
      <c r="K30" s="480"/>
      <c r="L30" s="480"/>
      <c r="M30" s="480"/>
      <c r="N30" s="480"/>
    </row>
    <row r="31" spans="1:14" ht="25.5">
      <c r="A31" s="17" t="s">
        <v>398</v>
      </c>
      <c r="B31" s="3"/>
      <c r="C31" s="5" t="s">
        <v>397</v>
      </c>
      <c r="D31" s="9" t="s">
        <v>368</v>
      </c>
      <c r="E31" s="423">
        <f aca="true" t="shared" si="10" ref="E31:N31">E15+E18+E21+E27</f>
        <v>45464.7605809</v>
      </c>
      <c r="F31" s="423">
        <f t="shared" si="10"/>
        <v>46577.01980197601</v>
      </c>
      <c r="G31" s="424">
        <f t="shared" si="10"/>
        <v>41530.97311778509</v>
      </c>
      <c r="H31" s="436">
        <f t="shared" si="10"/>
        <v>45577.25300287893</v>
      </c>
      <c r="I31" s="442">
        <f t="shared" si="10"/>
        <v>53325.3783753086</v>
      </c>
      <c r="J31" s="436">
        <f>J15+J18+J21+J24+J27+0.01</f>
        <v>52707.00074840001</v>
      </c>
      <c r="K31" s="502">
        <f t="shared" si="10"/>
        <v>49295.3679953086</v>
      </c>
      <c r="L31" s="502">
        <f t="shared" si="10"/>
        <v>49299.4272056886</v>
      </c>
      <c r="M31" s="502" t="e">
        <f t="shared" si="10"/>
        <v>#REF!</v>
      </c>
      <c r="N31" s="502" t="e">
        <f t="shared" si="10"/>
        <v>#REF!</v>
      </c>
    </row>
    <row r="32" spans="1:14" ht="38.25">
      <c r="A32" s="17" t="s">
        <v>396</v>
      </c>
      <c r="B32" s="3"/>
      <c r="C32" s="5" t="s">
        <v>395</v>
      </c>
      <c r="D32" s="15"/>
      <c r="E32" s="15"/>
      <c r="F32" s="15"/>
      <c r="G32" s="15"/>
      <c r="H32" s="315"/>
      <c r="I32" s="405"/>
      <c r="J32" s="405"/>
      <c r="K32" s="480"/>
      <c r="L32" s="480"/>
      <c r="M32" s="480"/>
      <c r="N32" s="480"/>
    </row>
    <row r="33" spans="1:14" ht="12.75">
      <c r="A33" s="17" t="s">
        <v>394</v>
      </c>
      <c r="B33" s="3"/>
      <c r="C33" s="5" t="s">
        <v>383</v>
      </c>
      <c r="D33" s="9" t="s">
        <v>370</v>
      </c>
      <c r="E33" s="18" t="s">
        <v>10</v>
      </c>
      <c r="F33" s="18" t="s">
        <v>10</v>
      </c>
      <c r="G33" s="18"/>
      <c r="H33" s="315"/>
      <c r="I33" s="405"/>
      <c r="J33" s="405"/>
      <c r="K33" s="480"/>
      <c r="L33" s="480"/>
      <c r="M33" s="480"/>
      <c r="N33" s="480"/>
    </row>
    <row r="34" spans="1:14" ht="12.75">
      <c r="A34" s="17" t="s">
        <v>393</v>
      </c>
      <c r="B34" s="3"/>
      <c r="C34" s="5" t="s">
        <v>381</v>
      </c>
      <c r="D34" s="9" t="s">
        <v>370</v>
      </c>
      <c r="E34" s="18" t="s">
        <v>10</v>
      </c>
      <c r="F34" s="18" t="s">
        <v>10</v>
      </c>
      <c r="G34" s="18"/>
      <c r="H34" s="315"/>
      <c r="I34" s="405"/>
      <c r="J34" s="405"/>
      <c r="K34" s="480"/>
      <c r="L34" s="480"/>
      <c r="M34" s="480"/>
      <c r="N34" s="480"/>
    </row>
    <row r="35" spans="1:14" ht="12.75">
      <c r="A35" s="139" t="s">
        <v>392</v>
      </c>
      <c r="B35" s="140"/>
      <c r="C35" s="141" t="s">
        <v>391</v>
      </c>
      <c r="D35" s="142" t="s">
        <v>370</v>
      </c>
      <c r="E35" s="430">
        <v>3818.2</v>
      </c>
      <c r="F35" s="430">
        <f>F7*F31*12/1000</f>
        <v>3353.545425742272</v>
      </c>
      <c r="G35" s="431">
        <f aca="true" t="shared" si="11" ref="G35:N35">G31*G7*12/1000</f>
        <v>3488.601741893948</v>
      </c>
      <c r="H35" s="440">
        <f t="shared" si="11"/>
        <v>3828.4892522418304</v>
      </c>
      <c r="I35" s="448">
        <f t="shared" si="11"/>
        <v>5119.236324029626</v>
      </c>
      <c r="J35" s="448">
        <f>ROUND(J31*J7/1000*12,2)</f>
        <v>5059.87</v>
      </c>
      <c r="K35" s="507">
        <f t="shared" si="11"/>
        <v>4732.355327549626</v>
      </c>
      <c r="L35" s="507">
        <f t="shared" si="11"/>
        <v>5324.338138214368</v>
      </c>
      <c r="M35" s="507" t="e">
        <f t="shared" si="11"/>
        <v>#REF!</v>
      </c>
      <c r="N35" s="507" t="e">
        <f t="shared" si="11"/>
        <v>#REF!</v>
      </c>
    </row>
    <row r="36" spans="1:14" ht="38.25">
      <c r="A36" s="6" t="s">
        <v>390</v>
      </c>
      <c r="B36" s="3"/>
      <c r="C36" s="5" t="s">
        <v>389</v>
      </c>
      <c r="D36" s="15"/>
      <c r="E36" s="15"/>
      <c r="F36" s="432"/>
      <c r="G36" s="15"/>
      <c r="H36" s="315"/>
      <c r="I36" s="405"/>
      <c r="J36" s="405"/>
      <c r="K36" s="480"/>
      <c r="L36" s="480"/>
      <c r="M36" s="480"/>
      <c r="N36" s="480"/>
    </row>
    <row r="37" spans="1:14" ht="25.5">
      <c r="A37" s="6" t="s">
        <v>388</v>
      </c>
      <c r="B37" s="3"/>
      <c r="C37" s="5" t="s">
        <v>387</v>
      </c>
      <c r="D37" s="15" t="s">
        <v>375</v>
      </c>
      <c r="E37" s="433"/>
      <c r="F37" s="433"/>
      <c r="G37" s="433"/>
      <c r="H37" s="315"/>
      <c r="I37" s="405"/>
      <c r="J37" s="405"/>
      <c r="K37" s="480"/>
      <c r="L37" s="480"/>
      <c r="M37" s="480"/>
      <c r="N37" s="480"/>
    </row>
    <row r="38" spans="1:14" ht="25.5">
      <c r="A38" s="6" t="s">
        <v>386</v>
      </c>
      <c r="B38" s="16"/>
      <c r="C38" s="8" t="s">
        <v>385</v>
      </c>
      <c r="D38" s="15" t="s">
        <v>368</v>
      </c>
      <c r="E38" s="433"/>
      <c r="F38" s="433"/>
      <c r="G38" s="433"/>
      <c r="H38" s="315"/>
      <c r="I38" s="405"/>
      <c r="J38" s="405"/>
      <c r="K38" s="480"/>
      <c r="L38" s="480"/>
      <c r="M38" s="480"/>
      <c r="N38" s="480"/>
    </row>
    <row r="39" spans="1:14" ht="12.75">
      <c r="A39" s="4" t="s">
        <v>384</v>
      </c>
      <c r="B39" s="3"/>
      <c r="C39" s="5" t="s">
        <v>383</v>
      </c>
      <c r="D39" s="9" t="s">
        <v>370</v>
      </c>
      <c r="E39" s="433"/>
      <c r="F39" s="433"/>
      <c r="G39" s="433"/>
      <c r="H39" s="315"/>
      <c r="I39" s="405"/>
      <c r="J39" s="405"/>
      <c r="K39" s="480"/>
      <c r="L39" s="480"/>
      <c r="M39" s="480"/>
      <c r="N39" s="480"/>
    </row>
    <row r="40" spans="1:14" ht="12.75">
      <c r="A40" s="4" t="s">
        <v>382</v>
      </c>
      <c r="B40" s="3"/>
      <c r="C40" s="5" t="s">
        <v>381</v>
      </c>
      <c r="D40" s="9" t="s">
        <v>370</v>
      </c>
      <c r="E40" s="433"/>
      <c r="F40" s="433"/>
      <c r="G40" s="433"/>
      <c r="H40" s="315"/>
      <c r="I40" s="405"/>
      <c r="J40" s="405"/>
      <c r="K40" s="480"/>
      <c r="L40" s="480"/>
      <c r="M40" s="480"/>
      <c r="N40" s="480"/>
    </row>
    <row r="41" spans="1:14" ht="25.5">
      <c r="A41" s="6" t="s">
        <v>380</v>
      </c>
      <c r="B41" s="3"/>
      <c r="C41" s="8" t="s">
        <v>379</v>
      </c>
      <c r="D41" s="15" t="s">
        <v>370</v>
      </c>
      <c r="E41" s="433"/>
      <c r="F41" s="433"/>
      <c r="G41" s="433"/>
      <c r="H41" s="315"/>
      <c r="I41" s="405"/>
      <c r="J41" s="405"/>
      <c r="K41" s="480"/>
      <c r="L41" s="480"/>
      <c r="M41" s="480"/>
      <c r="N41" s="480"/>
    </row>
    <row r="42" spans="1:14" ht="12.75">
      <c r="A42" s="4" t="s">
        <v>378</v>
      </c>
      <c r="B42" s="3"/>
      <c r="C42" s="5" t="s">
        <v>377</v>
      </c>
      <c r="D42" s="9"/>
      <c r="E42" s="433"/>
      <c r="F42" s="433"/>
      <c r="G42" s="433"/>
      <c r="H42" s="315"/>
      <c r="I42" s="405"/>
      <c r="J42" s="405"/>
      <c r="K42" s="480"/>
      <c r="L42" s="480"/>
      <c r="M42" s="480"/>
      <c r="N42" s="480"/>
    </row>
    <row r="43" spans="1:14" ht="25.5">
      <c r="A43" s="6" t="s">
        <v>365</v>
      </c>
      <c r="B43" s="3"/>
      <c r="C43" s="5" t="s">
        <v>376</v>
      </c>
      <c r="D43" s="15" t="s">
        <v>375</v>
      </c>
      <c r="E43" s="343">
        <f>E7</f>
        <v>7</v>
      </c>
      <c r="F43" s="343"/>
      <c r="G43" s="343">
        <f aca="true" t="shared" si="12" ref="G43:N43">G7</f>
        <v>7</v>
      </c>
      <c r="H43" s="318">
        <f t="shared" si="12"/>
        <v>7</v>
      </c>
      <c r="I43" s="449">
        <f t="shared" si="12"/>
        <v>8</v>
      </c>
      <c r="J43" s="449"/>
      <c r="K43" s="508">
        <f t="shared" si="12"/>
        <v>8</v>
      </c>
      <c r="L43" s="508">
        <f t="shared" si="12"/>
        <v>9</v>
      </c>
      <c r="M43" s="508">
        <f t="shared" si="12"/>
        <v>9</v>
      </c>
      <c r="N43" s="508">
        <f t="shared" si="12"/>
        <v>9</v>
      </c>
    </row>
    <row r="44" spans="1:14" ht="12.75">
      <c r="A44" s="6" t="s">
        <v>364</v>
      </c>
      <c r="B44" s="16"/>
      <c r="C44" s="8" t="s">
        <v>374</v>
      </c>
      <c r="D44" s="15" t="s">
        <v>368</v>
      </c>
      <c r="E44" s="434">
        <f>E31</f>
        <v>45464.7605809</v>
      </c>
      <c r="F44" s="434">
        <f>F31</f>
        <v>46577.01980197601</v>
      </c>
      <c r="G44" s="434">
        <f>G31</f>
        <v>41530.97311778509</v>
      </c>
      <c r="H44" s="315">
        <f aca="true" t="shared" si="13" ref="H44:I47">G44</f>
        <v>41530.97311778509</v>
      </c>
      <c r="I44" s="405">
        <f t="shared" si="13"/>
        <v>41530.97311778509</v>
      </c>
      <c r="J44" s="405"/>
      <c r="K44" s="480">
        <f>I44</f>
        <v>41530.97311778509</v>
      </c>
      <c r="L44" s="480">
        <f aca="true" t="shared" si="14" ref="L44:N47">K44</f>
        <v>41530.97311778509</v>
      </c>
      <c r="M44" s="480">
        <f t="shared" si="14"/>
        <v>41530.97311778509</v>
      </c>
      <c r="N44" s="480">
        <f t="shared" si="14"/>
        <v>41530.97311778509</v>
      </c>
    </row>
    <row r="45" spans="1:14" ht="12.75">
      <c r="A45" s="4" t="s">
        <v>373</v>
      </c>
      <c r="B45" s="3"/>
      <c r="C45" s="5" t="s">
        <v>372</v>
      </c>
      <c r="D45" s="9" t="s">
        <v>370</v>
      </c>
      <c r="E45" s="434">
        <f>E35</f>
        <v>3818.2</v>
      </c>
      <c r="F45" s="434">
        <f>F35</f>
        <v>3353.545425742272</v>
      </c>
      <c r="G45" s="434">
        <f>G35</f>
        <v>3488.601741893948</v>
      </c>
      <c r="H45" s="315">
        <f t="shared" si="13"/>
        <v>3488.601741893948</v>
      </c>
      <c r="I45" s="405">
        <f t="shared" si="13"/>
        <v>3488.601741893948</v>
      </c>
      <c r="J45" s="405"/>
      <c r="K45" s="480">
        <f>I45</f>
        <v>3488.601741893948</v>
      </c>
      <c r="L45" s="480">
        <f t="shared" si="14"/>
        <v>3488.601741893948</v>
      </c>
      <c r="M45" s="480">
        <f t="shared" si="14"/>
        <v>3488.601741893948</v>
      </c>
      <c r="N45" s="480">
        <f t="shared" si="14"/>
        <v>3488.601741893948</v>
      </c>
    </row>
    <row r="46" spans="1:14" ht="12.75">
      <c r="A46" s="4" t="s">
        <v>363</v>
      </c>
      <c r="B46" s="3"/>
      <c r="C46" s="5" t="s">
        <v>371</v>
      </c>
      <c r="D46" s="9" t="s">
        <v>370</v>
      </c>
      <c r="E46" s="434">
        <f>E45</f>
        <v>3818.2</v>
      </c>
      <c r="F46" s="434">
        <f>F45</f>
        <v>3353.545425742272</v>
      </c>
      <c r="G46" s="434">
        <f>G45</f>
        <v>3488.601741893948</v>
      </c>
      <c r="H46" s="315">
        <f t="shared" si="13"/>
        <v>3488.601741893948</v>
      </c>
      <c r="I46" s="405">
        <f t="shared" si="13"/>
        <v>3488.601741893948</v>
      </c>
      <c r="J46" s="405"/>
      <c r="K46" s="480">
        <f>I46</f>
        <v>3488.601741893948</v>
      </c>
      <c r="L46" s="480">
        <f t="shared" si="14"/>
        <v>3488.601741893948</v>
      </c>
      <c r="M46" s="480">
        <f t="shared" si="14"/>
        <v>3488.601741893948</v>
      </c>
      <c r="N46" s="480">
        <f t="shared" si="14"/>
        <v>3488.601741893948</v>
      </c>
    </row>
    <row r="47" spans="1:14" ht="12.75">
      <c r="A47" s="4" t="s">
        <v>362</v>
      </c>
      <c r="B47" s="3"/>
      <c r="C47" s="5" t="s">
        <v>369</v>
      </c>
      <c r="D47" s="9" t="s">
        <v>368</v>
      </c>
      <c r="E47" s="434">
        <f>E46*1000/E7/12</f>
        <v>45454.7619047619</v>
      </c>
      <c r="F47" s="434">
        <f>F46*1000/F7/12</f>
        <v>46577.01980197601</v>
      </c>
      <c r="G47" s="434">
        <f>G46*1000/G7/12</f>
        <v>41530.9731177851</v>
      </c>
      <c r="H47" s="315">
        <f t="shared" si="13"/>
        <v>41530.9731177851</v>
      </c>
      <c r="I47" s="405">
        <f t="shared" si="13"/>
        <v>41530.9731177851</v>
      </c>
      <c r="J47" s="405"/>
      <c r="K47" s="480">
        <f>I47</f>
        <v>41530.9731177851</v>
      </c>
      <c r="L47" s="480">
        <f t="shared" si="14"/>
        <v>41530.9731177851</v>
      </c>
      <c r="M47" s="480">
        <f t="shared" si="14"/>
        <v>41530.9731177851</v>
      </c>
      <c r="N47" s="480">
        <f t="shared" si="14"/>
        <v>41530.9731177851</v>
      </c>
    </row>
    <row r="48" ht="68.25" customHeight="1">
      <c r="C48" s="1" t="s">
        <v>101</v>
      </c>
    </row>
    <row r="49" spans="1:8" ht="21.75" customHeight="1">
      <c r="A49" s="645" t="s">
        <v>349</v>
      </c>
      <c r="B49" s="646"/>
      <c r="C49" s="646"/>
      <c r="D49" s="646"/>
      <c r="E49" s="646"/>
      <c r="F49" s="646"/>
      <c r="G49" s="646"/>
      <c r="H49" s="646"/>
    </row>
    <row r="50" spans="7:14" ht="12.75">
      <c r="G50" s="512" t="s">
        <v>579</v>
      </c>
      <c r="H50" s="512"/>
      <c r="I50" s="512"/>
      <c r="J50" s="512"/>
      <c r="K50" s="513" t="e">
        <f>INDEX!#REF!</f>
        <v>#REF!</v>
      </c>
      <c r="L50" s="513" t="e">
        <f>INDEX!#REF!</f>
        <v>#REF!</v>
      </c>
      <c r="M50" s="513" t="e">
        <f>INDEX!#REF!</f>
        <v>#REF!</v>
      </c>
      <c r="N50" s="513" t="e">
        <f>INDEX!#REF!</f>
        <v>#REF!</v>
      </c>
    </row>
    <row r="51" spans="3:4" ht="45" customHeight="1">
      <c r="C51" s="13"/>
      <c r="D51" s="12"/>
    </row>
    <row r="52" spans="3:4" ht="15" customHeight="1">
      <c r="C52" s="13"/>
      <c r="D52" s="14"/>
    </row>
    <row r="53" spans="3:4" ht="17.25" customHeight="1">
      <c r="C53" s="13"/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</sheetData>
  <sheetProtection/>
  <mergeCells count="4">
    <mergeCell ref="A3:H3"/>
    <mergeCell ref="B5:C5"/>
    <mergeCell ref="B6:C6"/>
    <mergeCell ref="A49:H49"/>
  </mergeCells>
  <printOptions/>
  <pageMargins left="0.7874015748031497" right="0.11811023622047245" top="0.3937007874015748" bottom="0.1968503937007874" header="0.1968503937007874" footer="0.1968503937007874"/>
  <pageSetup horizontalDpi="600" verticalDpi="600" orientation="portrait" paperSize="9" scale="91" r:id="rId3"/>
  <headerFooter alignWithMargins="0">
    <oddHeader>&amp;R&amp;"Times New Roman,обычный"&amp;7
</oddHeader>
  </headerFooter>
  <rowBreaks count="2" manualBreakCount="2">
    <brk id="48" max="6" man="1"/>
    <brk id="50" max="6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59"/>
  <sheetViews>
    <sheetView zoomScale="80" zoomScaleNormal="80" zoomScaleSheetLayoutView="140" workbookViewId="0" topLeftCell="A53">
      <selection activeCell="K51" sqref="K51:L51"/>
    </sheetView>
  </sheetViews>
  <sheetFormatPr defaultColWidth="9.140625" defaultRowHeight="15"/>
  <cols>
    <col min="1" max="1" width="7.28125" style="21" customWidth="1"/>
    <col min="2" max="2" width="0.42578125" style="21" customWidth="1"/>
    <col min="3" max="3" width="10.00390625" style="21" customWidth="1"/>
    <col min="4" max="4" width="12.140625" style="21" customWidth="1"/>
    <col min="5" max="5" width="12.7109375" style="21" customWidth="1"/>
    <col min="6" max="6" width="11.7109375" style="21" customWidth="1"/>
    <col min="7" max="8" width="8.421875" style="21" customWidth="1"/>
    <col min="9" max="10" width="8.8515625" style="288" customWidth="1"/>
    <col min="11" max="12" width="12.00390625" style="21" customWidth="1"/>
    <col min="13" max="13" width="11.7109375" style="21" customWidth="1"/>
    <col min="14" max="14" width="12.7109375" style="21" customWidth="1"/>
    <col min="15" max="15" width="12.28125" style="21" customWidth="1"/>
    <col min="16" max="18" width="13.28125" style="21" customWidth="1"/>
    <col min="19" max="16384" width="9.140625" style="21" customWidth="1"/>
  </cols>
  <sheetData>
    <row r="1" spans="11:12" ht="15">
      <c r="K1" s="27"/>
      <c r="L1" s="27"/>
    </row>
    <row r="2" spans="11:12" ht="15" customHeight="1">
      <c r="K2" s="27" t="s">
        <v>103</v>
      </c>
      <c r="L2" s="27"/>
    </row>
    <row r="3" spans="1:12" ht="13.5" customHeight="1">
      <c r="A3" s="660" t="s">
        <v>113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2"/>
    </row>
    <row r="4" spans="1:12" ht="12.75" customHeight="1">
      <c r="A4" s="660" t="s">
        <v>114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2"/>
    </row>
    <row r="5" spans="1:12" ht="4.5" customHeight="1">
      <c r="A5" s="23"/>
      <c r="B5" s="23"/>
      <c r="C5" s="23"/>
      <c r="D5" s="23"/>
      <c r="E5" s="23"/>
      <c r="F5" s="23"/>
      <c r="G5" s="23"/>
      <c r="H5" s="23"/>
      <c r="I5" s="289"/>
      <c r="J5" s="289"/>
      <c r="K5" s="23"/>
      <c r="L5" s="23"/>
    </row>
    <row r="6" spans="1:12" ht="12" customHeight="1">
      <c r="A6" s="660" t="s">
        <v>115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2"/>
    </row>
    <row r="7" spans="1:12" ht="12.75" customHeight="1">
      <c r="A7" s="660" t="s">
        <v>116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2"/>
    </row>
    <row r="8" spans="1:12" ht="12" customHeight="1">
      <c r="A8" s="660" t="s">
        <v>117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2"/>
    </row>
    <row r="9" spans="1:12" ht="4.5" customHeight="1">
      <c r="A9" s="62"/>
      <c r="B9" s="62"/>
      <c r="C9" s="62"/>
      <c r="D9" s="62"/>
      <c r="E9" s="62"/>
      <c r="F9" s="62"/>
      <c r="G9" s="62"/>
      <c r="H9" s="62"/>
      <c r="I9" s="290"/>
      <c r="J9" s="290"/>
      <c r="K9" s="62"/>
      <c r="L9" s="62"/>
    </row>
    <row r="10" spans="1:18" ht="79.5" customHeight="1">
      <c r="A10" s="661"/>
      <c r="B10" s="663" t="s">
        <v>118</v>
      </c>
      <c r="C10" s="664"/>
      <c r="D10" s="661" t="s">
        <v>119</v>
      </c>
      <c r="E10" s="661" t="s">
        <v>120</v>
      </c>
      <c r="F10" s="10" t="s">
        <v>121</v>
      </c>
      <c r="G10" s="10" t="s">
        <v>564</v>
      </c>
      <c r="H10" s="10" t="s">
        <v>632</v>
      </c>
      <c r="I10" s="403" t="s">
        <v>565</v>
      </c>
      <c r="J10" s="404" t="s">
        <v>551</v>
      </c>
      <c r="K10" s="10" t="s">
        <v>550</v>
      </c>
      <c r="L10" s="10" t="s">
        <v>633</v>
      </c>
      <c r="M10" s="403" t="s">
        <v>549</v>
      </c>
      <c r="N10" s="404" t="s">
        <v>563</v>
      </c>
      <c r="O10" s="479" t="s">
        <v>571</v>
      </c>
      <c r="P10" s="479" t="s">
        <v>572</v>
      </c>
      <c r="Q10" s="479" t="s">
        <v>573</v>
      </c>
      <c r="R10" s="479" t="s">
        <v>574</v>
      </c>
    </row>
    <row r="11" spans="1:18" ht="15">
      <c r="A11" s="662"/>
      <c r="B11" s="665"/>
      <c r="C11" s="666"/>
      <c r="D11" s="662"/>
      <c r="E11" s="662"/>
      <c r="F11" s="9" t="s">
        <v>122</v>
      </c>
      <c r="G11" s="9" t="s">
        <v>285</v>
      </c>
      <c r="H11" s="9"/>
      <c r="I11" s="315" t="s">
        <v>285</v>
      </c>
      <c r="J11" s="405" t="s">
        <v>285</v>
      </c>
      <c r="K11" s="9" t="s">
        <v>552</v>
      </c>
      <c r="L11" s="9"/>
      <c r="M11" s="315" t="s">
        <v>552</v>
      </c>
      <c r="N11" s="405" t="s">
        <v>552</v>
      </c>
      <c r="O11" s="480" t="s">
        <v>552</v>
      </c>
      <c r="P11" s="480" t="s">
        <v>552</v>
      </c>
      <c r="Q11" s="480" t="s">
        <v>552</v>
      </c>
      <c r="R11" s="480" t="s">
        <v>552</v>
      </c>
    </row>
    <row r="12" spans="1:18" ht="15">
      <c r="A12" s="9">
        <v>1</v>
      </c>
      <c r="B12" s="643">
        <v>2</v>
      </c>
      <c r="C12" s="659"/>
      <c r="D12" s="9">
        <v>3</v>
      </c>
      <c r="E12" s="9">
        <v>4</v>
      </c>
      <c r="F12" s="9">
        <v>5</v>
      </c>
      <c r="G12" s="9">
        <v>6</v>
      </c>
      <c r="H12" s="9"/>
      <c r="I12" s="315">
        <v>7</v>
      </c>
      <c r="J12" s="405">
        <v>8</v>
      </c>
      <c r="K12" s="9" t="s">
        <v>553</v>
      </c>
      <c r="L12" s="9"/>
      <c r="M12" s="315" t="s">
        <v>561</v>
      </c>
      <c r="N12" s="405" t="s">
        <v>562</v>
      </c>
      <c r="O12" s="480"/>
      <c r="P12" s="480"/>
      <c r="Q12" s="480"/>
      <c r="R12" s="480"/>
    </row>
    <row r="13" spans="1:18" ht="15">
      <c r="A13" s="63"/>
      <c r="B13" s="3"/>
      <c r="C13" s="2">
        <v>1150</v>
      </c>
      <c r="D13" s="9" t="s">
        <v>6</v>
      </c>
      <c r="E13" s="9" t="s">
        <v>124</v>
      </c>
      <c r="F13" s="9">
        <v>800</v>
      </c>
      <c r="G13" s="9">
        <v>0</v>
      </c>
      <c r="H13" s="9"/>
      <c r="I13" s="315"/>
      <c r="J13" s="405"/>
      <c r="K13" s="9">
        <f aca="true" t="shared" si="0" ref="K13:K41">F13*G13/100</f>
        <v>0</v>
      </c>
      <c r="L13" s="9"/>
      <c r="M13" s="465"/>
      <c r="N13" s="460"/>
      <c r="O13" s="481"/>
      <c r="P13" s="481"/>
      <c r="Q13" s="481"/>
      <c r="R13" s="481"/>
    </row>
    <row r="14" spans="1:18" ht="15">
      <c r="A14" s="64"/>
      <c r="B14" s="3"/>
      <c r="C14" s="2">
        <v>750</v>
      </c>
      <c r="D14" s="9">
        <v>1</v>
      </c>
      <c r="E14" s="9" t="s">
        <v>124</v>
      </c>
      <c r="F14" s="9">
        <v>600</v>
      </c>
      <c r="G14" s="9">
        <v>0</v>
      </c>
      <c r="H14" s="9"/>
      <c r="I14" s="315"/>
      <c r="J14" s="405"/>
      <c r="K14" s="9">
        <f t="shared" si="0"/>
        <v>0</v>
      </c>
      <c r="L14" s="9"/>
      <c r="M14" s="465"/>
      <c r="N14" s="460"/>
      <c r="O14" s="481"/>
      <c r="P14" s="481"/>
      <c r="Q14" s="481"/>
      <c r="R14" s="481"/>
    </row>
    <row r="15" spans="1:18" ht="15">
      <c r="A15" s="64"/>
      <c r="B15" s="65"/>
      <c r="C15" s="656" t="s">
        <v>305</v>
      </c>
      <c r="D15" s="650">
        <v>1</v>
      </c>
      <c r="E15" s="9" t="s">
        <v>124</v>
      </c>
      <c r="F15" s="9">
        <v>400</v>
      </c>
      <c r="G15" s="9">
        <v>0</v>
      </c>
      <c r="H15" s="9"/>
      <c r="I15" s="315"/>
      <c r="J15" s="405"/>
      <c r="K15" s="9">
        <f t="shared" si="0"/>
        <v>0</v>
      </c>
      <c r="L15" s="9"/>
      <c r="M15" s="465"/>
      <c r="N15" s="460"/>
      <c r="O15" s="481"/>
      <c r="P15" s="481"/>
      <c r="Q15" s="481"/>
      <c r="R15" s="481"/>
    </row>
    <row r="16" spans="1:18" ht="15">
      <c r="A16" s="64"/>
      <c r="B16" s="66"/>
      <c r="C16" s="658"/>
      <c r="D16" s="652"/>
      <c r="E16" s="9" t="s">
        <v>125</v>
      </c>
      <c r="F16" s="9">
        <v>300</v>
      </c>
      <c r="G16" s="9">
        <v>0</v>
      </c>
      <c r="H16" s="9"/>
      <c r="I16" s="315"/>
      <c r="J16" s="405"/>
      <c r="K16" s="9">
        <f t="shared" si="0"/>
        <v>0</v>
      </c>
      <c r="L16" s="9"/>
      <c r="M16" s="465"/>
      <c r="N16" s="460"/>
      <c r="O16" s="481"/>
      <c r="P16" s="481"/>
      <c r="Q16" s="481"/>
      <c r="R16" s="481"/>
    </row>
    <row r="17" spans="1:18" ht="15">
      <c r="A17" s="64"/>
      <c r="B17" s="65"/>
      <c r="C17" s="656">
        <v>330</v>
      </c>
      <c r="D17" s="650">
        <v>1</v>
      </c>
      <c r="E17" s="9" t="s">
        <v>124</v>
      </c>
      <c r="F17" s="9">
        <v>230</v>
      </c>
      <c r="G17" s="9">
        <v>0</v>
      </c>
      <c r="H17" s="9"/>
      <c r="I17" s="315"/>
      <c r="J17" s="405"/>
      <c r="K17" s="9">
        <f t="shared" si="0"/>
        <v>0</v>
      </c>
      <c r="L17" s="9"/>
      <c r="M17" s="465"/>
      <c r="N17" s="460"/>
      <c r="O17" s="481"/>
      <c r="P17" s="481"/>
      <c r="Q17" s="481"/>
      <c r="R17" s="481"/>
    </row>
    <row r="18" spans="1:18" ht="15">
      <c r="A18" s="64"/>
      <c r="B18" s="67"/>
      <c r="C18" s="657"/>
      <c r="D18" s="652"/>
      <c r="E18" s="9" t="s">
        <v>125</v>
      </c>
      <c r="F18" s="9">
        <v>170</v>
      </c>
      <c r="G18" s="9">
        <v>0</v>
      </c>
      <c r="H18" s="9"/>
      <c r="I18" s="315"/>
      <c r="J18" s="405"/>
      <c r="K18" s="9">
        <f t="shared" si="0"/>
        <v>0</v>
      </c>
      <c r="L18" s="9"/>
      <c r="M18" s="465"/>
      <c r="N18" s="460"/>
      <c r="O18" s="481"/>
      <c r="P18" s="481"/>
      <c r="Q18" s="481"/>
      <c r="R18" s="481"/>
    </row>
    <row r="19" spans="1:18" ht="15">
      <c r="A19" s="64" t="s">
        <v>446</v>
      </c>
      <c r="B19" s="67"/>
      <c r="C19" s="657"/>
      <c r="D19" s="650">
        <v>2</v>
      </c>
      <c r="E19" s="9" t="s">
        <v>124</v>
      </c>
      <c r="F19" s="9">
        <v>290</v>
      </c>
      <c r="G19" s="9">
        <v>0</v>
      </c>
      <c r="H19" s="9"/>
      <c r="I19" s="315"/>
      <c r="J19" s="405"/>
      <c r="K19" s="9">
        <f t="shared" si="0"/>
        <v>0</v>
      </c>
      <c r="L19" s="9"/>
      <c r="M19" s="465"/>
      <c r="N19" s="460"/>
      <c r="O19" s="481"/>
      <c r="P19" s="481"/>
      <c r="Q19" s="481"/>
      <c r="R19" s="481"/>
    </row>
    <row r="20" spans="1:18" ht="15">
      <c r="A20" s="64"/>
      <c r="B20" s="66"/>
      <c r="C20" s="658"/>
      <c r="D20" s="652"/>
      <c r="E20" s="9" t="s">
        <v>125</v>
      </c>
      <c r="F20" s="9">
        <v>210</v>
      </c>
      <c r="G20" s="9">
        <v>0</v>
      </c>
      <c r="H20" s="9"/>
      <c r="I20" s="315"/>
      <c r="J20" s="405"/>
      <c r="K20" s="9">
        <f t="shared" si="0"/>
        <v>0</v>
      </c>
      <c r="L20" s="9"/>
      <c r="M20" s="465"/>
      <c r="N20" s="460"/>
      <c r="O20" s="481"/>
      <c r="P20" s="481"/>
      <c r="Q20" s="481"/>
      <c r="R20" s="481"/>
    </row>
    <row r="21" spans="1:18" ht="15">
      <c r="A21" s="64"/>
      <c r="B21" s="65"/>
      <c r="C21" s="656">
        <v>220</v>
      </c>
      <c r="D21" s="650">
        <v>1</v>
      </c>
      <c r="E21" s="9" t="s">
        <v>126</v>
      </c>
      <c r="F21" s="9">
        <v>260</v>
      </c>
      <c r="G21" s="9">
        <v>0</v>
      </c>
      <c r="H21" s="9"/>
      <c r="I21" s="315"/>
      <c r="J21" s="405"/>
      <c r="K21" s="9">
        <f t="shared" si="0"/>
        <v>0</v>
      </c>
      <c r="L21" s="9"/>
      <c r="M21" s="465"/>
      <c r="N21" s="460"/>
      <c r="O21" s="481"/>
      <c r="P21" s="481"/>
      <c r="Q21" s="481"/>
      <c r="R21" s="481"/>
    </row>
    <row r="22" spans="1:18" ht="15">
      <c r="A22" s="64"/>
      <c r="B22" s="67"/>
      <c r="C22" s="657"/>
      <c r="D22" s="651"/>
      <c r="E22" s="9" t="s">
        <v>124</v>
      </c>
      <c r="F22" s="9">
        <v>210</v>
      </c>
      <c r="G22" s="9">
        <v>0</v>
      </c>
      <c r="H22" s="9"/>
      <c r="I22" s="315"/>
      <c r="J22" s="405"/>
      <c r="K22" s="9">
        <f t="shared" si="0"/>
        <v>0</v>
      </c>
      <c r="L22" s="9"/>
      <c r="M22" s="465"/>
      <c r="N22" s="460"/>
      <c r="O22" s="481"/>
      <c r="P22" s="481"/>
      <c r="Q22" s="481"/>
      <c r="R22" s="481"/>
    </row>
    <row r="23" spans="1:18" ht="15">
      <c r="A23" s="64"/>
      <c r="B23" s="67"/>
      <c r="C23" s="657"/>
      <c r="D23" s="652"/>
      <c r="E23" s="9" t="s">
        <v>125</v>
      </c>
      <c r="F23" s="9">
        <v>140</v>
      </c>
      <c r="G23" s="9">
        <v>0</v>
      </c>
      <c r="H23" s="9"/>
      <c r="I23" s="315"/>
      <c r="J23" s="405"/>
      <c r="K23" s="9">
        <f t="shared" si="0"/>
        <v>0</v>
      </c>
      <c r="L23" s="9"/>
      <c r="M23" s="465"/>
      <c r="N23" s="460"/>
      <c r="O23" s="481"/>
      <c r="P23" s="481"/>
      <c r="Q23" s="481"/>
      <c r="R23" s="481"/>
    </row>
    <row r="24" spans="1:18" ht="15">
      <c r="A24" s="64"/>
      <c r="B24" s="67"/>
      <c r="C24" s="657"/>
      <c r="D24" s="650">
        <v>2</v>
      </c>
      <c r="E24" s="9" t="s">
        <v>124</v>
      </c>
      <c r="F24" s="9">
        <v>270</v>
      </c>
      <c r="G24" s="9">
        <v>0</v>
      </c>
      <c r="H24" s="9"/>
      <c r="I24" s="315"/>
      <c r="J24" s="405"/>
      <c r="K24" s="9">
        <f t="shared" si="0"/>
        <v>0</v>
      </c>
      <c r="L24" s="9"/>
      <c r="M24" s="465"/>
      <c r="N24" s="460"/>
      <c r="O24" s="481"/>
      <c r="P24" s="481"/>
      <c r="Q24" s="481"/>
      <c r="R24" s="481"/>
    </row>
    <row r="25" spans="1:18" ht="15">
      <c r="A25" s="64"/>
      <c r="B25" s="66"/>
      <c r="C25" s="658"/>
      <c r="D25" s="652"/>
      <c r="E25" s="9" t="s">
        <v>125</v>
      </c>
      <c r="F25" s="9">
        <v>180</v>
      </c>
      <c r="G25" s="9">
        <v>0</v>
      </c>
      <c r="H25" s="9"/>
      <c r="I25" s="315"/>
      <c r="J25" s="405"/>
      <c r="K25" s="9">
        <f t="shared" si="0"/>
        <v>0</v>
      </c>
      <c r="L25" s="9"/>
      <c r="M25" s="465"/>
      <c r="N25" s="460"/>
      <c r="O25" s="481"/>
      <c r="P25" s="481"/>
      <c r="Q25" s="481"/>
      <c r="R25" s="481"/>
    </row>
    <row r="26" spans="1:18" ht="15">
      <c r="A26" s="64"/>
      <c r="B26" s="65"/>
      <c r="C26" s="656" t="s">
        <v>306</v>
      </c>
      <c r="D26" s="650">
        <v>1</v>
      </c>
      <c r="E26" s="9" t="s">
        <v>126</v>
      </c>
      <c r="F26" s="9">
        <v>180</v>
      </c>
      <c r="G26" s="9">
        <v>0</v>
      </c>
      <c r="H26" s="9"/>
      <c r="I26" s="315"/>
      <c r="J26" s="405"/>
      <c r="K26" s="9">
        <f t="shared" si="0"/>
        <v>0</v>
      </c>
      <c r="L26" s="9"/>
      <c r="M26" s="465"/>
      <c r="N26" s="460"/>
      <c r="O26" s="481"/>
      <c r="P26" s="481"/>
      <c r="Q26" s="481"/>
      <c r="R26" s="481"/>
    </row>
    <row r="27" spans="1:18" ht="15">
      <c r="A27" s="64"/>
      <c r="B27" s="67"/>
      <c r="C27" s="657"/>
      <c r="D27" s="651"/>
      <c r="E27" s="9" t="s">
        <v>124</v>
      </c>
      <c r="F27" s="9">
        <v>160</v>
      </c>
      <c r="G27" s="9">
        <v>0</v>
      </c>
      <c r="H27" s="9"/>
      <c r="I27" s="315"/>
      <c r="J27" s="405"/>
      <c r="K27" s="9">
        <f t="shared" si="0"/>
        <v>0</v>
      </c>
      <c r="L27" s="9"/>
      <c r="M27" s="465"/>
      <c r="N27" s="460"/>
      <c r="O27" s="481"/>
      <c r="P27" s="481"/>
      <c r="Q27" s="481"/>
      <c r="R27" s="481"/>
    </row>
    <row r="28" spans="1:18" ht="15">
      <c r="A28" s="64"/>
      <c r="B28" s="67"/>
      <c r="C28" s="657"/>
      <c r="D28" s="652"/>
      <c r="E28" s="9" t="s">
        <v>125</v>
      </c>
      <c r="F28" s="9">
        <v>130</v>
      </c>
      <c r="G28" s="9">
        <v>0</v>
      </c>
      <c r="H28" s="9"/>
      <c r="I28" s="315"/>
      <c r="J28" s="405"/>
      <c r="K28" s="9">
        <f t="shared" si="0"/>
        <v>0</v>
      </c>
      <c r="L28" s="9"/>
      <c r="M28" s="465"/>
      <c r="N28" s="460"/>
      <c r="O28" s="481"/>
      <c r="P28" s="481"/>
      <c r="Q28" s="481"/>
      <c r="R28" s="481"/>
    </row>
    <row r="29" spans="1:18" ht="15">
      <c r="A29" s="64"/>
      <c r="B29" s="67"/>
      <c r="C29" s="657"/>
      <c r="D29" s="650">
        <v>2</v>
      </c>
      <c r="E29" s="9" t="s">
        <v>124</v>
      </c>
      <c r="F29" s="9">
        <v>190</v>
      </c>
      <c r="G29" s="9">
        <v>0</v>
      </c>
      <c r="H29" s="9"/>
      <c r="I29" s="315"/>
      <c r="J29" s="405"/>
      <c r="K29" s="9">
        <f t="shared" si="0"/>
        <v>0</v>
      </c>
      <c r="L29" s="9"/>
      <c r="M29" s="465"/>
      <c r="N29" s="460"/>
      <c r="O29" s="481"/>
      <c r="P29" s="481"/>
      <c r="Q29" s="481"/>
      <c r="R29" s="481"/>
    </row>
    <row r="30" spans="1:18" ht="15">
      <c r="A30" s="68"/>
      <c r="B30" s="66"/>
      <c r="C30" s="658"/>
      <c r="D30" s="652"/>
      <c r="E30" s="9" t="s">
        <v>125</v>
      </c>
      <c r="F30" s="9">
        <v>160</v>
      </c>
      <c r="G30" s="9">
        <v>0</v>
      </c>
      <c r="H30" s="9"/>
      <c r="I30" s="315"/>
      <c r="J30" s="405"/>
      <c r="K30" s="9">
        <f t="shared" si="0"/>
        <v>0</v>
      </c>
      <c r="L30" s="9"/>
      <c r="M30" s="465"/>
      <c r="N30" s="460"/>
      <c r="O30" s="481"/>
      <c r="P30" s="481"/>
      <c r="Q30" s="481"/>
      <c r="R30" s="481"/>
    </row>
    <row r="31" spans="1:18" ht="15">
      <c r="A31" s="650" t="s">
        <v>445</v>
      </c>
      <c r="B31" s="3"/>
      <c r="C31" s="2">
        <v>220</v>
      </c>
      <c r="D31" s="9" t="s">
        <v>6</v>
      </c>
      <c r="E31" s="9" t="s">
        <v>6</v>
      </c>
      <c r="F31" s="9">
        <v>3000</v>
      </c>
      <c r="G31" s="9">
        <v>0</v>
      </c>
      <c r="H31" s="9"/>
      <c r="I31" s="315"/>
      <c r="J31" s="405"/>
      <c r="K31" s="9">
        <f t="shared" si="0"/>
        <v>0</v>
      </c>
      <c r="L31" s="9"/>
      <c r="M31" s="465"/>
      <c r="N31" s="460"/>
      <c r="O31" s="481"/>
      <c r="P31" s="481"/>
      <c r="Q31" s="481"/>
      <c r="R31" s="481"/>
    </row>
    <row r="32" spans="1:18" ht="15">
      <c r="A32" s="652"/>
      <c r="B32" s="3"/>
      <c r="C32" s="2">
        <v>110</v>
      </c>
      <c r="D32" s="9" t="s">
        <v>6</v>
      </c>
      <c r="E32" s="9" t="s">
        <v>6</v>
      </c>
      <c r="F32" s="9">
        <v>2300</v>
      </c>
      <c r="G32" s="9">
        <v>0</v>
      </c>
      <c r="H32" s="9"/>
      <c r="I32" s="315"/>
      <c r="J32" s="405"/>
      <c r="K32" s="9">
        <f t="shared" si="0"/>
        <v>0</v>
      </c>
      <c r="L32" s="9"/>
      <c r="M32" s="465"/>
      <c r="N32" s="460"/>
      <c r="O32" s="481"/>
      <c r="P32" s="481"/>
      <c r="Q32" s="481"/>
      <c r="R32" s="481"/>
    </row>
    <row r="33" spans="1:18" ht="15">
      <c r="A33" s="69"/>
      <c r="B33" s="70"/>
      <c r="C33" s="70" t="s">
        <v>127</v>
      </c>
      <c r="D33" s="60"/>
      <c r="E33" s="60"/>
      <c r="F33" s="60"/>
      <c r="G33" s="60"/>
      <c r="H33" s="60"/>
      <c r="I33" s="454"/>
      <c r="J33" s="457"/>
      <c r="K33" s="61">
        <f t="shared" si="0"/>
        <v>0</v>
      </c>
      <c r="L33" s="61"/>
      <c r="M33" s="465"/>
      <c r="N33" s="460"/>
      <c r="O33" s="481"/>
      <c r="P33" s="481"/>
      <c r="Q33" s="481"/>
      <c r="R33" s="481"/>
    </row>
    <row r="34" spans="1:18" ht="15">
      <c r="A34" s="64"/>
      <c r="B34" s="65"/>
      <c r="C34" s="656">
        <v>35</v>
      </c>
      <c r="D34" s="650">
        <v>1</v>
      </c>
      <c r="E34" s="9" t="s">
        <v>126</v>
      </c>
      <c r="F34" s="9">
        <v>170</v>
      </c>
      <c r="G34" s="9">
        <v>0</v>
      </c>
      <c r="H34" s="9"/>
      <c r="I34" s="315"/>
      <c r="J34" s="405"/>
      <c r="K34" s="9">
        <f t="shared" si="0"/>
        <v>0</v>
      </c>
      <c r="L34" s="9"/>
      <c r="M34" s="465"/>
      <c r="N34" s="460"/>
      <c r="O34" s="481"/>
      <c r="P34" s="481"/>
      <c r="Q34" s="481"/>
      <c r="R34" s="481"/>
    </row>
    <row r="35" spans="1:18" ht="15">
      <c r="A35" s="64"/>
      <c r="B35" s="67"/>
      <c r="C35" s="657"/>
      <c r="D35" s="651"/>
      <c r="E35" s="9" t="s">
        <v>124</v>
      </c>
      <c r="F35" s="9">
        <v>140</v>
      </c>
      <c r="G35" s="9">
        <v>0</v>
      </c>
      <c r="H35" s="9"/>
      <c r="I35" s="315"/>
      <c r="J35" s="405"/>
      <c r="K35" s="9">
        <f t="shared" si="0"/>
        <v>0</v>
      </c>
      <c r="L35" s="9"/>
      <c r="M35" s="465"/>
      <c r="N35" s="460"/>
      <c r="O35" s="481"/>
      <c r="P35" s="481"/>
      <c r="Q35" s="481"/>
      <c r="R35" s="481"/>
    </row>
    <row r="36" spans="1:18" ht="15">
      <c r="A36" s="64"/>
      <c r="B36" s="67"/>
      <c r="C36" s="657"/>
      <c r="D36" s="652"/>
      <c r="E36" s="9" t="s">
        <v>125</v>
      </c>
      <c r="F36" s="9">
        <v>120</v>
      </c>
      <c r="G36" s="9">
        <v>0</v>
      </c>
      <c r="H36" s="9"/>
      <c r="I36" s="315"/>
      <c r="J36" s="405"/>
      <c r="K36" s="9">
        <f t="shared" si="0"/>
        <v>0</v>
      </c>
      <c r="L36" s="9"/>
      <c r="M36" s="465"/>
      <c r="N36" s="460"/>
      <c r="O36" s="481"/>
      <c r="P36" s="481"/>
      <c r="Q36" s="481"/>
      <c r="R36" s="481"/>
    </row>
    <row r="37" spans="1:18" ht="15">
      <c r="A37" s="64" t="s">
        <v>446</v>
      </c>
      <c r="B37" s="67"/>
      <c r="C37" s="657"/>
      <c r="D37" s="650">
        <v>2</v>
      </c>
      <c r="E37" s="9" t="s">
        <v>124</v>
      </c>
      <c r="F37" s="9">
        <v>180</v>
      </c>
      <c r="G37" s="9">
        <v>0</v>
      </c>
      <c r="H37" s="9"/>
      <c r="I37" s="315"/>
      <c r="J37" s="405"/>
      <c r="K37" s="9">
        <f t="shared" si="0"/>
        <v>0</v>
      </c>
      <c r="L37" s="9"/>
      <c r="M37" s="465"/>
      <c r="N37" s="460"/>
      <c r="O37" s="481"/>
      <c r="P37" s="481"/>
      <c r="Q37" s="481"/>
      <c r="R37" s="481"/>
    </row>
    <row r="38" spans="1:18" ht="15">
      <c r="A38" s="64"/>
      <c r="B38" s="66"/>
      <c r="C38" s="658"/>
      <c r="D38" s="652"/>
      <c r="E38" s="9" t="s">
        <v>125</v>
      </c>
      <c r="F38" s="9">
        <v>150</v>
      </c>
      <c r="G38" s="9">
        <v>0</v>
      </c>
      <c r="H38" s="9"/>
      <c r="I38" s="315"/>
      <c r="J38" s="405"/>
      <c r="K38" s="9">
        <f t="shared" si="0"/>
        <v>0</v>
      </c>
      <c r="L38" s="9"/>
      <c r="M38" s="465"/>
      <c r="N38" s="460"/>
      <c r="O38" s="481"/>
      <c r="P38" s="481"/>
      <c r="Q38" s="481"/>
      <c r="R38" s="481"/>
    </row>
    <row r="39" spans="1:18" ht="15">
      <c r="A39" s="64"/>
      <c r="B39" s="65"/>
      <c r="C39" s="647" t="s">
        <v>309</v>
      </c>
      <c r="D39" s="650" t="s">
        <v>6</v>
      </c>
      <c r="E39" s="71" t="s">
        <v>126</v>
      </c>
      <c r="F39" s="9">
        <v>160</v>
      </c>
      <c r="G39" s="9">
        <v>1.562</v>
      </c>
      <c r="H39" s="533">
        <v>1.962</v>
      </c>
      <c r="I39" s="315">
        <v>1.562</v>
      </c>
      <c r="J39" s="405">
        <v>1.59</v>
      </c>
      <c r="K39" s="9">
        <f t="shared" si="0"/>
        <v>2.4992</v>
      </c>
      <c r="L39" s="9">
        <f>H39*F39/100</f>
        <v>3.1392</v>
      </c>
      <c r="M39" s="465">
        <f>I39*F39/100</f>
        <v>2.4992</v>
      </c>
      <c r="N39" s="460">
        <f>$F$39*J39/100</f>
        <v>2.544</v>
      </c>
      <c r="O39" s="485">
        <f>ROUND(N39*(1+$Q$59/100),3)</f>
        <v>2.671</v>
      </c>
      <c r="P39" s="485">
        <f aca="true" t="shared" si="1" ref="P39:R41">ROUND(O39*(1+$Q$59/100),3)</f>
        <v>2.805</v>
      </c>
      <c r="Q39" s="485">
        <f t="shared" si="1"/>
        <v>2.945</v>
      </c>
      <c r="R39" s="485">
        <f t="shared" si="1"/>
        <v>3.092</v>
      </c>
    </row>
    <row r="40" spans="1:18" ht="27">
      <c r="A40" s="64"/>
      <c r="B40" s="67"/>
      <c r="C40" s="648"/>
      <c r="D40" s="651"/>
      <c r="E40" s="71" t="s">
        <v>128</v>
      </c>
      <c r="F40" s="72">
        <v>140</v>
      </c>
      <c r="G40" s="9">
        <v>0</v>
      </c>
      <c r="H40" s="9"/>
      <c r="I40" s="315"/>
      <c r="J40" s="405"/>
      <c r="K40" s="9">
        <f t="shared" si="0"/>
        <v>0</v>
      </c>
      <c r="L40" s="9"/>
      <c r="M40" s="465"/>
      <c r="N40" s="460"/>
      <c r="O40" s="481"/>
      <c r="P40" s="481"/>
      <c r="Q40" s="481"/>
      <c r="R40" s="481"/>
    </row>
    <row r="41" spans="1:18" ht="27">
      <c r="A41" s="68"/>
      <c r="B41" s="66"/>
      <c r="C41" s="649"/>
      <c r="D41" s="652"/>
      <c r="E41" s="71" t="s">
        <v>129</v>
      </c>
      <c r="F41" s="72">
        <v>110</v>
      </c>
      <c r="G41" s="9">
        <v>2.293</v>
      </c>
      <c r="H41" s="9">
        <v>2.293</v>
      </c>
      <c r="I41" s="317">
        <v>2.293</v>
      </c>
      <c r="J41" s="447">
        <v>2.293</v>
      </c>
      <c r="K41" s="9">
        <f t="shared" si="0"/>
        <v>2.5223</v>
      </c>
      <c r="L41" s="9">
        <f aca="true" t="shared" si="2" ref="L41:L49">H41*F41/100</f>
        <v>2.5223</v>
      </c>
      <c r="M41" s="465">
        <f>I41*F41/100</f>
        <v>2.5223</v>
      </c>
      <c r="N41" s="460">
        <f>$F$41*J41/100</f>
        <v>2.5223</v>
      </c>
      <c r="O41" s="485">
        <f>ROUND(N41*(1+$Q$59/100),3)</f>
        <v>2.648</v>
      </c>
      <c r="P41" s="485">
        <f t="shared" si="1"/>
        <v>2.78</v>
      </c>
      <c r="Q41" s="485">
        <f t="shared" si="1"/>
        <v>2.919</v>
      </c>
      <c r="R41" s="485">
        <f t="shared" si="1"/>
        <v>3.065</v>
      </c>
    </row>
    <row r="42" spans="1:18" ht="15">
      <c r="A42" s="9">
        <v>1</v>
      </c>
      <c r="B42" s="643">
        <v>2</v>
      </c>
      <c r="C42" s="659"/>
      <c r="D42" s="9">
        <v>3</v>
      </c>
      <c r="E42" s="9">
        <v>4</v>
      </c>
      <c r="F42" s="9">
        <v>5</v>
      </c>
      <c r="G42" s="9">
        <v>0</v>
      </c>
      <c r="H42" s="9"/>
      <c r="I42" s="315"/>
      <c r="J42" s="405"/>
      <c r="K42" s="9" t="s">
        <v>123</v>
      </c>
      <c r="L42" s="9"/>
      <c r="M42" s="315" t="s">
        <v>548</v>
      </c>
      <c r="N42" s="405" t="s">
        <v>553</v>
      </c>
      <c r="O42" s="480"/>
      <c r="P42" s="480"/>
      <c r="Q42" s="480"/>
      <c r="R42" s="480"/>
    </row>
    <row r="43" spans="1:18" ht="15">
      <c r="A43" s="650" t="s">
        <v>445</v>
      </c>
      <c r="B43" s="3"/>
      <c r="C43" s="2" t="s">
        <v>130</v>
      </c>
      <c r="D43" s="9" t="s">
        <v>6</v>
      </c>
      <c r="E43" s="9" t="s">
        <v>6</v>
      </c>
      <c r="F43" s="9">
        <v>470</v>
      </c>
      <c r="G43" s="9">
        <v>0</v>
      </c>
      <c r="H43" s="9"/>
      <c r="I43" s="315"/>
      <c r="J43" s="405"/>
      <c r="K43" s="9">
        <f>F43*G43/100</f>
        <v>0</v>
      </c>
      <c r="L43" s="9"/>
      <c r="M43" s="465"/>
      <c r="N43" s="460"/>
      <c r="O43" s="481"/>
      <c r="P43" s="481"/>
      <c r="Q43" s="481"/>
      <c r="R43" s="481"/>
    </row>
    <row r="44" spans="1:18" ht="15">
      <c r="A44" s="652"/>
      <c r="B44" s="3"/>
      <c r="C44" s="73" t="s">
        <v>131</v>
      </c>
      <c r="D44" s="9" t="s">
        <v>6</v>
      </c>
      <c r="E44" s="9" t="s">
        <v>6</v>
      </c>
      <c r="F44" s="9">
        <v>350</v>
      </c>
      <c r="G44" s="9">
        <v>0.1</v>
      </c>
      <c r="H44" s="9">
        <v>0.1</v>
      </c>
      <c r="I44" s="317">
        <v>0.1</v>
      </c>
      <c r="J44" s="447">
        <v>0.1</v>
      </c>
      <c r="K44" s="9">
        <f>F44*G44/100</f>
        <v>0.35</v>
      </c>
      <c r="L44" s="9">
        <f t="shared" si="2"/>
        <v>0.35</v>
      </c>
      <c r="M44" s="465">
        <f>I44*F44/100</f>
        <v>0.35</v>
      </c>
      <c r="N44" s="460">
        <f>$F$44*J44/100</f>
        <v>0.35</v>
      </c>
      <c r="O44" s="485">
        <f>ROUND(N44*(1+$Q$59/100),3)</f>
        <v>0.368</v>
      </c>
      <c r="P44" s="485">
        <f>ROUND(O44*(1+$Q$59/100),3)</f>
        <v>0.386</v>
      </c>
      <c r="Q44" s="485">
        <f>ROUND(P44*(1+$Q$59/100),3)</f>
        <v>0.405</v>
      </c>
      <c r="R44" s="485">
        <f>ROUND(Q44*(1+$Q$59/100),3)</f>
        <v>0.425</v>
      </c>
    </row>
    <row r="45" spans="1:18" ht="15">
      <c r="A45" s="69"/>
      <c r="B45" s="70"/>
      <c r="C45" s="70" t="s">
        <v>132</v>
      </c>
      <c r="D45" s="60"/>
      <c r="E45" s="60"/>
      <c r="F45" s="60"/>
      <c r="G45" s="60"/>
      <c r="H45" s="60"/>
      <c r="I45" s="454"/>
      <c r="J45" s="457"/>
      <c r="K45" s="464">
        <f aca="true" t="shared" si="3" ref="K45:R45">K39+K41+K44</f>
        <v>5.371499999999999</v>
      </c>
      <c r="L45" s="464">
        <f t="shared" si="3"/>
        <v>6.0115</v>
      </c>
      <c r="M45" s="466">
        <f t="shared" si="3"/>
        <v>5.371499999999999</v>
      </c>
      <c r="N45" s="461">
        <f t="shared" si="3"/>
        <v>5.4163</v>
      </c>
      <c r="O45" s="482">
        <f t="shared" si="3"/>
        <v>5.687</v>
      </c>
      <c r="P45" s="482">
        <f t="shared" si="3"/>
        <v>5.971</v>
      </c>
      <c r="Q45" s="482">
        <f t="shared" si="3"/>
        <v>6.269</v>
      </c>
      <c r="R45" s="482">
        <f t="shared" si="3"/>
        <v>6.582</v>
      </c>
    </row>
    <row r="46" spans="1:18" ht="15">
      <c r="A46" s="64"/>
      <c r="B46" s="65"/>
      <c r="C46" s="647" t="s">
        <v>133</v>
      </c>
      <c r="D46" s="650" t="s">
        <v>6</v>
      </c>
      <c r="E46" s="71" t="s">
        <v>126</v>
      </c>
      <c r="F46" s="9">
        <v>260</v>
      </c>
      <c r="G46" s="72">
        <v>12.34</v>
      </c>
      <c r="H46" s="72">
        <v>12.34</v>
      </c>
      <c r="I46" s="455">
        <v>12.34</v>
      </c>
      <c r="J46" s="458">
        <v>12.34</v>
      </c>
      <c r="K46" s="9">
        <f>F46*G46/100</f>
        <v>32.084</v>
      </c>
      <c r="L46" s="9">
        <f t="shared" si="2"/>
        <v>32.084</v>
      </c>
      <c r="M46" s="465">
        <f>I46*F46/100</f>
        <v>32.084</v>
      </c>
      <c r="N46" s="460">
        <f>$F$46*J46/100</f>
        <v>32.084</v>
      </c>
      <c r="O46" s="485">
        <f>ROUND(N46*(1+$Q$59/100),3)</f>
        <v>33.688</v>
      </c>
      <c r="P46" s="485">
        <f>ROUND(O46*(1+$Q$59/100),3)</f>
        <v>35.372</v>
      </c>
      <c r="Q46" s="485">
        <f>ROUND(P46*(1+$Q$59/100),3)</f>
        <v>37.141</v>
      </c>
      <c r="R46" s="485">
        <f>ROUND(Q46*(1+$Q$59/100),3)</f>
        <v>38.998</v>
      </c>
    </row>
    <row r="47" spans="1:18" ht="27">
      <c r="A47" s="64" t="s">
        <v>446</v>
      </c>
      <c r="B47" s="67"/>
      <c r="C47" s="648"/>
      <c r="D47" s="651"/>
      <c r="E47" s="71" t="s">
        <v>128</v>
      </c>
      <c r="F47" s="72">
        <v>220</v>
      </c>
      <c r="G47" s="72">
        <v>0</v>
      </c>
      <c r="H47" s="72"/>
      <c r="I47" s="456"/>
      <c r="J47" s="459"/>
      <c r="K47" s="9">
        <f>F47*G47/100</f>
        <v>0</v>
      </c>
      <c r="L47" s="9"/>
      <c r="M47" s="465"/>
      <c r="N47" s="460"/>
      <c r="O47" s="481"/>
      <c r="P47" s="481"/>
      <c r="Q47" s="481"/>
      <c r="R47" s="481"/>
    </row>
    <row r="48" spans="1:18" ht="27">
      <c r="A48" s="68"/>
      <c r="B48" s="66"/>
      <c r="C48" s="649"/>
      <c r="D48" s="652"/>
      <c r="E48" s="71" t="s">
        <v>129</v>
      </c>
      <c r="F48" s="72">
        <v>150</v>
      </c>
      <c r="G48" s="72">
        <v>0</v>
      </c>
      <c r="H48" s="534">
        <v>1.81</v>
      </c>
      <c r="I48" s="455"/>
      <c r="J48" s="458"/>
      <c r="K48" s="9">
        <f>F48*G48/100</f>
        <v>0</v>
      </c>
      <c r="L48" s="9">
        <f t="shared" si="2"/>
        <v>2.715</v>
      </c>
      <c r="M48" s="465">
        <f>I48*F48/100</f>
        <v>0</v>
      </c>
      <c r="N48" s="460"/>
      <c r="O48" s="481"/>
      <c r="P48" s="481"/>
      <c r="Q48" s="481"/>
      <c r="R48" s="481"/>
    </row>
    <row r="49" spans="1:18" ht="15">
      <c r="A49" s="68" t="s">
        <v>445</v>
      </c>
      <c r="B49" s="3"/>
      <c r="C49" s="74" t="s">
        <v>134</v>
      </c>
      <c r="D49" s="9" t="s">
        <v>6</v>
      </c>
      <c r="E49" s="9"/>
      <c r="F49" s="9">
        <v>270</v>
      </c>
      <c r="G49" s="72">
        <v>1.98</v>
      </c>
      <c r="H49" s="72">
        <v>1.98</v>
      </c>
      <c r="I49" s="456">
        <v>1.98</v>
      </c>
      <c r="J49" s="459">
        <v>2.48</v>
      </c>
      <c r="K49" s="9">
        <f>F49*G49/100</f>
        <v>5.346</v>
      </c>
      <c r="L49" s="9">
        <f t="shared" si="2"/>
        <v>5.346</v>
      </c>
      <c r="M49" s="465">
        <f>I49*F49/100</f>
        <v>5.346</v>
      </c>
      <c r="N49" s="460">
        <f>J49*$F$49/100</f>
        <v>6.696000000000001</v>
      </c>
      <c r="O49" s="485">
        <f>ROUND(N49*(1+$Q$59/100),3)</f>
        <v>7.031</v>
      </c>
      <c r="P49" s="485">
        <f>ROUND(O49*(1+$Q$59/100),3)</f>
        <v>7.383</v>
      </c>
      <c r="Q49" s="485">
        <f>ROUND(P49*(1+$Q$59/100),3)</f>
        <v>7.752</v>
      </c>
      <c r="R49" s="485">
        <f>ROUND(Q49*(1+$Q$59/100),3)</f>
        <v>8.14</v>
      </c>
    </row>
    <row r="50" spans="1:18" ht="15">
      <c r="A50" s="69"/>
      <c r="B50" s="70"/>
      <c r="C50" s="70" t="s">
        <v>135</v>
      </c>
      <c r="D50" s="60"/>
      <c r="E50" s="60"/>
      <c r="F50" s="60"/>
      <c r="G50" s="60"/>
      <c r="H50" s="60"/>
      <c r="I50" s="291"/>
      <c r="J50" s="291"/>
      <c r="K50" s="464">
        <f aca="true" t="shared" si="4" ref="K50:R50">K49+K46+K48</f>
        <v>37.43000000000001</v>
      </c>
      <c r="L50" s="464">
        <f t="shared" si="4"/>
        <v>40.14500000000001</v>
      </c>
      <c r="M50" s="466">
        <f t="shared" si="4"/>
        <v>37.43000000000001</v>
      </c>
      <c r="N50" s="461">
        <f t="shared" si="4"/>
        <v>38.78</v>
      </c>
      <c r="O50" s="482">
        <f t="shared" si="4"/>
        <v>40.719</v>
      </c>
      <c r="P50" s="482">
        <f t="shared" si="4"/>
        <v>42.755</v>
      </c>
      <c r="Q50" s="482">
        <f t="shared" si="4"/>
        <v>44.893</v>
      </c>
      <c r="R50" s="482">
        <f t="shared" si="4"/>
        <v>47.138</v>
      </c>
    </row>
    <row r="51" spans="1:18" ht="15">
      <c r="A51" s="143" t="s">
        <v>263</v>
      </c>
      <c r="B51" s="143"/>
      <c r="C51" s="143"/>
      <c r="D51" s="143"/>
      <c r="E51" s="143"/>
      <c r="F51" s="143"/>
      <c r="G51" s="143"/>
      <c r="H51" s="143"/>
      <c r="I51" s="292"/>
      <c r="J51" s="292"/>
      <c r="K51" s="143">
        <f aca="true" t="shared" si="5" ref="K51:R51">K45+K50</f>
        <v>42.801500000000004</v>
      </c>
      <c r="L51" s="143">
        <f t="shared" si="5"/>
        <v>46.15650000000001</v>
      </c>
      <c r="M51" s="467">
        <f t="shared" si="5"/>
        <v>42.801500000000004</v>
      </c>
      <c r="N51" s="462">
        <f t="shared" si="5"/>
        <v>44.1963</v>
      </c>
      <c r="O51" s="292">
        <f t="shared" si="5"/>
        <v>46.406</v>
      </c>
      <c r="P51" s="292">
        <f t="shared" si="5"/>
        <v>48.726</v>
      </c>
      <c r="Q51" s="292">
        <f t="shared" si="5"/>
        <v>51.162</v>
      </c>
      <c r="R51" s="292">
        <f t="shared" si="5"/>
        <v>53.72</v>
      </c>
    </row>
    <row r="52" spans="1:14" ht="15">
      <c r="A52" s="1"/>
      <c r="B52" s="1"/>
      <c r="C52" s="1" t="s">
        <v>441</v>
      </c>
      <c r="D52" s="1"/>
      <c r="E52" s="1"/>
      <c r="F52" s="653" t="s">
        <v>9</v>
      </c>
      <c r="G52" s="653"/>
      <c r="H52" s="11"/>
      <c r="I52" s="293"/>
      <c r="J52" s="293"/>
      <c r="K52" s="1"/>
      <c r="L52" s="1"/>
      <c r="N52" s="463"/>
    </row>
    <row r="53" spans="1:13" s="23" customFormat="1" ht="13.5">
      <c r="A53" s="654" t="s">
        <v>327</v>
      </c>
      <c r="B53" s="655"/>
      <c r="C53" s="655"/>
      <c r="D53" s="655"/>
      <c r="E53" s="655"/>
      <c r="F53" s="655"/>
      <c r="G53" s="655"/>
      <c r="H53" s="655"/>
      <c r="I53" s="655"/>
      <c r="J53" s="655"/>
      <c r="K53" s="655"/>
      <c r="L53" s="519"/>
      <c r="M53" s="87"/>
    </row>
    <row r="54" spans="1:13" s="23" customFormat="1" ht="29.25" customHeight="1">
      <c r="A54" s="654" t="s">
        <v>136</v>
      </c>
      <c r="B54" s="655"/>
      <c r="C54" s="655"/>
      <c r="D54" s="655"/>
      <c r="E54" s="655"/>
      <c r="F54" s="655"/>
      <c r="G54" s="655"/>
      <c r="H54" s="655"/>
      <c r="I54" s="655"/>
      <c r="J54" s="655"/>
      <c r="K54" s="655"/>
      <c r="L54" s="519"/>
      <c r="M54" s="87"/>
    </row>
    <row r="55" spans="1:12" s="23" customFormat="1" ht="13.5">
      <c r="A55" s="654" t="s">
        <v>137</v>
      </c>
      <c r="B55" s="655"/>
      <c r="C55" s="655"/>
      <c r="D55" s="655"/>
      <c r="E55" s="655"/>
      <c r="F55" s="655"/>
      <c r="G55" s="655"/>
      <c r="H55" s="655"/>
      <c r="I55" s="655"/>
      <c r="J55" s="655"/>
      <c r="K55" s="655"/>
      <c r="L55" s="519"/>
    </row>
    <row r="56" spans="1:12" s="23" customFormat="1" ht="13.5">
      <c r="A56" s="654" t="s">
        <v>138</v>
      </c>
      <c r="B56" s="655"/>
      <c r="C56" s="655"/>
      <c r="D56" s="655"/>
      <c r="E56" s="655"/>
      <c r="F56" s="655"/>
      <c r="G56" s="655"/>
      <c r="H56" s="655"/>
      <c r="I56" s="655"/>
      <c r="J56" s="655"/>
      <c r="K56" s="655"/>
      <c r="L56" s="519"/>
    </row>
    <row r="57" spans="1:12" s="23" customFormat="1" ht="13.5">
      <c r="A57" s="654" t="s">
        <v>139</v>
      </c>
      <c r="B57" s="655"/>
      <c r="C57" s="655"/>
      <c r="D57" s="655"/>
      <c r="E57" s="655"/>
      <c r="F57" s="655"/>
      <c r="G57" s="655"/>
      <c r="H57" s="655"/>
      <c r="I57" s="655"/>
      <c r="J57" s="655"/>
      <c r="K57" s="655"/>
      <c r="L57" s="519"/>
    </row>
    <row r="58" spans="1:12" s="23" customFormat="1" ht="29.25" customHeight="1">
      <c r="A58" s="654" t="s">
        <v>140</v>
      </c>
      <c r="B58" s="655"/>
      <c r="C58" s="655"/>
      <c r="D58" s="655"/>
      <c r="E58" s="655"/>
      <c r="F58" s="655"/>
      <c r="G58" s="655"/>
      <c r="H58" s="655"/>
      <c r="I58" s="655"/>
      <c r="J58" s="655"/>
      <c r="K58" s="655"/>
      <c r="L58" s="519"/>
    </row>
    <row r="59" spans="1:18" s="23" customFormat="1" ht="13.5">
      <c r="A59" s="654" t="s">
        <v>141</v>
      </c>
      <c r="B59" s="655"/>
      <c r="C59" s="655"/>
      <c r="D59" s="655"/>
      <c r="E59" s="655"/>
      <c r="F59" s="655"/>
      <c r="G59" s="655"/>
      <c r="H59" s="655"/>
      <c r="I59" s="655"/>
      <c r="J59" s="655"/>
      <c r="K59" s="655"/>
      <c r="L59" s="519"/>
      <c r="O59" s="483" t="s">
        <v>566</v>
      </c>
      <c r="P59" s="483"/>
      <c r="Q59" s="484">
        <v>5</v>
      </c>
      <c r="R59" s="483" t="s">
        <v>401</v>
      </c>
    </row>
    <row r="60" ht="3" customHeight="1"/>
  </sheetData>
  <sheetProtection/>
  <mergeCells count="39">
    <mergeCell ref="A8:K8"/>
    <mergeCell ref="A10:A11"/>
    <mergeCell ref="B10:C11"/>
    <mergeCell ref="D10:D11"/>
    <mergeCell ref="E10:E11"/>
    <mergeCell ref="A3:K3"/>
    <mergeCell ref="A4:K4"/>
    <mergeCell ref="A6:K6"/>
    <mergeCell ref="A7:K7"/>
    <mergeCell ref="B12:C12"/>
    <mergeCell ref="C15:C16"/>
    <mergeCell ref="D15:D16"/>
    <mergeCell ref="C17:C20"/>
    <mergeCell ref="D17:D18"/>
    <mergeCell ref="D19:D20"/>
    <mergeCell ref="B42:C42"/>
    <mergeCell ref="A43:A44"/>
    <mergeCell ref="C21:C25"/>
    <mergeCell ref="D21:D23"/>
    <mergeCell ref="D24:D25"/>
    <mergeCell ref="C26:C30"/>
    <mergeCell ref="D26:D28"/>
    <mergeCell ref="D29:D30"/>
    <mergeCell ref="A58:K58"/>
    <mergeCell ref="A59:K59"/>
    <mergeCell ref="A54:K54"/>
    <mergeCell ref="A55:K55"/>
    <mergeCell ref="A31:A32"/>
    <mergeCell ref="C34:C38"/>
    <mergeCell ref="D34:D36"/>
    <mergeCell ref="D37:D38"/>
    <mergeCell ref="C39:C41"/>
    <mergeCell ref="D39:D41"/>
    <mergeCell ref="C46:C48"/>
    <mergeCell ref="D46:D48"/>
    <mergeCell ref="F52:G52"/>
    <mergeCell ref="A53:K53"/>
    <mergeCell ref="A56:K56"/>
    <mergeCell ref="A57:K57"/>
  </mergeCells>
  <printOptions/>
  <pageMargins left="0.7874015748031497" right="0.31496062992125984" top="0.1968503937007874" bottom="0.11811023622047245" header="0" footer="0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65"/>
  <sheetViews>
    <sheetView zoomScale="90" zoomScaleNormal="90" zoomScaleSheetLayoutView="100" zoomScalePageLayoutView="80" workbookViewId="0" topLeftCell="C42">
      <selection activeCell="K54" sqref="K54"/>
    </sheetView>
  </sheetViews>
  <sheetFormatPr defaultColWidth="8.7109375" defaultRowHeight="15"/>
  <cols>
    <col min="1" max="1" width="5.7109375" style="21" customWidth="1"/>
    <col min="2" max="2" width="22.7109375" style="21" customWidth="1"/>
    <col min="3" max="3" width="9.421875" style="21" customWidth="1"/>
    <col min="4" max="4" width="10.421875" style="21" customWidth="1"/>
    <col min="5" max="5" width="14.00390625" style="21" customWidth="1"/>
    <col min="6" max="7" width="11.57421875" style="21" customWidth="1"/>
    <col min="8" max="8" width="12.00390625" style="21" customWidth="1"/>
    <col min="9" max="9" width="13.00390625" style="21" customWidth="1"/>
    <col min="10" max="11" width="9.8515625" style="21" customWidth="1"/>
    <col min="12" max="12" width="11.140625" style="21" customWidth="1"/>
    <col min="13" max="13" width="10.57421875" style="21" customWidth="1"/>
    <col min="14" max="16384" width="8.7109375" style="21" customWidth="1"/>
  </cols>
  <sheetData>
    <row r="1" spans="10:11" ht="12" customHeight="1">
      <c r="J1" s="22" t="s">
        <v>293</v>
      </c>
      <c r="K1" s="22"/>
    </row>
    <row r="2" ht="7.5" customHeight="1"/>
    <row r="3" spans="1:11" ht="16.5">
      <c r="A3" s="685" t="s">
        <v>294</v>
      </c>
      <c r="B3" s="685"/>
      <c r="C3" s="685"/>
      <c r="D3" s="685"/>
      <c r="E3" s="685"/>
      <c r="F3" s="685"/>
      <c r="G3" s="685"/>
      <c r="H3" s="685"/>
      <c r="I3" s="685"/>
      <c r="J3" s="685"/>
      <c r="K3" s="51"/>
    </row>
    <row r="4" spans="1:11" ht="16.5">
      <c r="A4" s="685" t="s">
        <v>295</v>
      </c>
      <c r="B4" s="685"/>
      <c r="C4" s="685"/>
      <c r="D4" s="685"/>
      <c r="E4" s="685"/>
      <c r="F4" s="685"/>
      <c r="G4" s="685"/>
      <c r="H4" s="685"/>
      <c r="I4" s="685"/>
      <c r="J4" s="685"/>
      <c r="K4" s="51"/>
    </row>
    <row r="5" spans="1:11" ht="16.5">
      <c r="A5" s="685" t="s">
        <v>296</v>
      </c>
      <c r="B5" s="685"/>
      <c r="C5" s="685"/>
      <c r="D5" s="685"/>
      <c r="E5" s="685"/>
      <c r="F5" s="685"/>
      <c r="G5" s="685"/>
      <c r="H5" s="685"/>
      <c r="I5" s="685"/>
      <c r="J5" s="685"/>
      <c r="K5" s="51"/>
    </row>
    <row r="6" spans="1:11" ht="9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7" ht="88.5" customHeight="1">
      <c r="A7" s="686" t="s">
        <v>367</v>
      </c>
      <c r="B7" s="686" t="s">
        <v>442</v>
      </c>
      <c r="C7" s="686" t="s">
        <v>297</v>
      </c>
      <c r="D7" s="686" t="s">
        <v>298</v>
      </c>
      <c r="E7" s="26" t="s">
        <v>299</v>
      </c>
      <c r="F7" s="26" t="s">
        <v>556</v>
      </c>
      <c r="G7" s="26" t="s">
        <v>634</v>
      </c>
      <c r="H7" s="452" t="s">
        <v>554</v>
      </c>
      <c r="I7" s="419" t="s">
        <v>555</v>
      </c>
      <c r="J7" s="26" t="s">
        <v>550</v>
      </c>
      <c r="K7" s="26" t="s">
        <v>633</v>
      </c>
      <c r="L7" s="452" t="s">
        <v>557</v>
      </c>
      <c r="M7" s="472" t="s">
        <v>547</v>
      </c>
      <c r="N7" s="486" t="s">
        <v>567</v>
      </c>
      <c r="O7" s="486" t="s">
        <v>568</v>
      </c>
      <c r="P7" s="486" t="s">
        <v>569</v>
      </c>
      <c r="Q7" s="486" t="s">
        <v>570</v>
      </c>
    </row>
    <row r="8" spans="1:17" ht="15">
      <c r="A8" s="687"/>
      <c r="B8" s="687"/>
      <c r="C8" s="687"/>
      <c r="D8" s="687"/>
      <c r="E8" s="24" t="s">
        <v>300</v>
      </c>
      <c r="F8" s="24" t="s">
        <v>301</v>
      </c>
      <c r="G8" s="24"/>
      <c r="H8" s="453"/>
      <c r="I8" s="420"/>
      <c r="J8" s="451" t="s">
        <v>302</v>
      </c>
      <c r="K8" s="451"/>
      <c r="L8" s="475"/>
      <c r="M8" s="473"/>
      <c r="N8" s="487"/>
      <c r="O8" s="487"/>
      <c r="P8" s="487"/>
      <c r="Q8" s="487"/>
    </row>
    <row r="9" spans="1:17" ht="1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/>
      <c r="H9" s="453">
        <v>7</v>
      </c>
      <c r="I9" s="420">
        <v>8</v>
      </c>
      <c r="J9" s="451" t="s">
        <v>558</v>
      </c>
      <c r="K9" s="451"/>
      <c r="L9" s="476" t="s">
        <v>559</v>
      </c>
      <c r="M9" s="420" t="s">
        <v>560</v>
      </c>
      <c r="N9" s="488"/>
      <c r="O9" s="488"/>
      <c r="P9" s="488"/>
      <c r="Q9" s="488"/>
    </row>
    <row r="10" spans="1:17" ht="15">
      <c r="A10" s="667">
        <v>1</v>
      </c>
      <c r="B10" s="676" t="s">
        <v>303</v>
      </c>
      <c r="C10" s="676" t="s">
        <v>304</v>
      </c>
      <c r="D10" s="24">
        <v>1150</v>
      </c>
      <c r="E10" s="24">
        <v>1000</v>
      </c>
      <c r="F10" s="24"/>
      <c r="G10" s="24"/>
      <c r="H10" s="453"/>
      <c r="I10" s="420"/>
      <c r="J10" s="451"/>
      <c r="K10" s="451"/>
      <c r="L10" s="475"/>
      <c r="M10" s="473"/>
      <c r="N10" s="487"/>
      <c r="O10" s="487"/>
      <c r="P10" s="487"/>
      <c r="Q10" s="487"/>
    </row>
    <row r="11" spans="1:17" ht="15">
      <c r="A11" s="668"/>
      <c r="B11" s="677"/>
      <c r="C11" s="677"/>
      <c r="D11" s="24">
        <v>750</v>
      </c>
      <c r="E11" s="24">
        <v>600</v>
      </c>
      <c r="F11" s="24"/>
      <c r="G11" s="24"/>
      <c r="H11" s="453"/>
      <c r="I11" s="420"/>
      <c r="J11" s="451"/>
      <c r="K11" s="451"/>
      <c r="L11" s="475"/>
      <c r="M11" s="473"/>
      <c r="N11" s="487"/>
      <c r="O11" s="487"/>
      <c r="P11" s="487"/>
      <c r="Q11" s="487"/>
    </row>
    <row r="12" spans="1:17" ht="15">
      <c r="A12" s="668"/>
      <c r="B12" s="677"/>
      <c r="C12" s="677"/>
      <c r="D12" s="24" t="s">
        <v>305</v>
      </c>
      <c r="E12" s="24">
        <v>500</v>
      </c>
      <c r="F12" s="24"/>
      <c r="G12" s="24"/>
      <c r="H12" s="453"/>
      <c r="I12" s="420"/>
      <c r="J12" s="451"/>
      <c r="K12" s="451"/>
      <c r="L12" s="475"/>
      <c r="M12" s="473"/>
      <c r="N12" s="487"/>
      <c r="O12" s="487"/>
      <c r="P12" s="487"/>
      <c r="Q12" s="487"/>
    </row>
    <row r="13" spans="1:17" ht="15">
      <c r="A13" s="668"/>
      <c r="B13" s="677"/>
      <c r="C13" s="677"/>
      <c r="D13" s="24">
        <v>330</v>
      </c>
      <c r="E13" s="24">
        <v>250</v>
      </c>
      <c r="F13" s="24"/>
      <c r="G13" s="24"/>
      <c r="H13" s="453"/>
      <c r="I13" s="420"/>
      <c r="J13" s="451"/>
      <c r="K13" s="451"/>
      <c r="L13" s="475"/>
      <c r="M13" s="473"/>
      <c r="N13" s="487"/>
      <c r="O13" s="487"/>
      <c r="P13" s="487"/>
      <c r="Q13" s="487"/>
    </row>
    <row r="14" spans="1:17" ht="15">
      <c r="A14" s="668"/>
      <c r="B14" s="677"/>
      <c r="C14" s="677"/>
      <c r="D14" s="24">
        <v>220</v>
      </c>
      <c r="E14" s="24">
        <v>210</v>
      </c>
      <c r="F14" s="24"/>
      <c r="G14" s="24"/>
      <c r="H14" s="453"/>
      <c r="I14" s="420"/>
      <c r="J14" s="451"/>
      <c r="K14" s="451"/>
      <c r="L14" s="475"/>
      <c r="M14" s="473"/>
      <c r="N14" s="487"/>
      <c r="O14" s="487"/>
      <c r="P14" s="487"/>
      <c r="Q14" s="487"/>
    </row>
    <row r="15" spans="1:17" ht="15">
      <c r="A15" s="668"/>
      <c r="B15" s="677"/>
      <c r="C15" s="677"/>
      <c r="D15" s="24" t="s">
        <v>306</v>
      </c>
      <c r="E15" s="24">
        <v>105</v>
      </c>
      <c r="F15" s="24">
        <v>1</v>
      </c>
      <c r="G15" s="24">
        <v>1</v>
      </c>
      <c r="H15" s="453">
        <v>1</v>
      </c>
      <c r="I15" s="420">
        <v>1</v>
      </c>
      <c r="J15" s="451">
        <f>E15*F15</f>
        <v>105</v>
      </c>
      <c r="K15" s="451">
        <f>E15*G15</f>
        <v>105</v>
      </c>
      <c r="L15" s="475">
        <f>H15*E15</f>
        <v>105</v>
      </c>
      <c r="M15" s="473">
        <f>I15*E15</f>
        <v>105</v>
      </c>
      <c r="N15" s="487">
        <v>105</v>
      </c>
      <c r="O15" s="487">
        <v>105</v>
      </c>
      <c r="P15" s="487">
        <v>105</v>
      </c>
      <c r="Q15" s="487">
        <v>105</v>
      </c>
    </row>
    <row r="16" spans="1:17" ht="15">
      <c r="A16" s="669"/>
      <c r="B16" s="678"/>
      <c r="C16" s="678"/>
      <c r="D16" s="24">
        <v>35</v>
      </c>
      <c r="E16" s="24">
        <v>75</v>
      </c>
      <c r="F16" s="24"/>
      <c r="G16" s="24"/>
      <c r="H16" s="453"/>
      <c r="I16" s="420"/>
      <c r="J16" s="451"/>
      <c r="K16" s="451"/>
      <c r="L16" s="475"/>
      <c r="M16" s="473"/>
      <c r="N16" s="487"/>
      <c r="O16" s="487"/>
      <c r="P16" s="487"/>
      <c r="Q16" s="487"/>
    </row>
    <row r="17" spans="1:17" ht="15">
      <c r="A17" s="667">
        <v>2</v>
      </c>
      <c r="B17" s="676" t="s">
        <v>307</v>
      </c>
      <c r="C17" s="676" t="s">
        <v>308</v>
      </c>
      <c r="D17" s="24">
        <v>1150</v>
      </c>
      <c r="E17" s="24">
        <v>60</v>
      </c>
      <c r="F17" s="24"/>
      <c r="G17" s="24"/>
      <c r="H17" s="453"/>
      <c r="I17" s="420"/>
      <c r="J17" s="451"/>
      <c r="K17" s="451"/>
      <c r="L17" s="475"/>
      <c r="M17" s="473"/>
      <c r="N17" s="487"/>
      <c r="O17" s="487"/>
      <c r="P17" s="487"/>
      <c r="Q17" s="487"/>
    </row>
    <row r="18" spans="1:17" ht="15">
      <c r="A18" s="668"/>
      <c r="B18" s="677"/>
      <c r="C18" s="677"/>
      <c r="D18" s="24">
        <v>750</v>
      </c>
      <c r="E18" s="24">
        <v>43</v>
      </c>
      <c r="F18" s="24"/>
      <c r="G18" s="24"/>
      <c r="H18" s="453"/>
      <c r="I18" s="420"/>
      <c r="J18" s="451"/>
      <c r="K18" s="451"/>
      <c r="L18" s="475"/>
      <c r="M18" s="473"/>
      <c r="N18" s="487"/>
      <c r="O18" s="487"/>
      <c r="P18" s="487"/>
      <c r="Q18" s="487"/>
    </row>
    <row r="19" spans="1:17" ht="15">
      <c r="A19" s="668"/>
      <c r="B19" s="677"/>
      <c r="C19" s="677"/>
      <c r="D19" s="24" t="s">
        <v>305</v>
      </c>
      <c r="E19" s="24">
        <v>28</v>
      </c>
      <c r="F19" s="24"/>
      <c r="G19" s="24"/>
      <c r="H19" s="453"/>
      <c r="I19" s="420"/>
      <c r="J19" s="451"/>
      <c r="K19" s="451"/>
      <c r="L19" s="475"/>
      <c r="M19" s="473"/>
      <c r="N19" s="487"/>
      <c r="O19" s="487"/>
      <c r="P19" s="487"/>
      <c r="Q19" s="487"/>
    </row>
    <row r="20" spans="1:17" ht="15">
      <c r="A20" s="668"/>
      <c r="B20" s="677"/>
      <c r="C20" s="677"/>
      <c r="D20" s="24">
        <v>330</v>
      </c>
      <c r="E20" s="24">
        <v>18</v>
      </c>
      <c r="F20" s="24"/>
      <c r="G20" s="24"/>
      <c r="H20" s="453"/>
      <c r="I20" s="420"/>
      <c r="J20" s="451"/>
      <c r="K20" s="451"/>
      <c r="L20" s="475"/>
      <c r="M20" s="473"/>
      <c r="N20" s="487"/>
      <c r="O20" s="487"/>
      <c r="P20" s="487"/>
      <c r="Q20" s="487"/>
    </row>
    <row r="21" spans="1:17" ht="15">
      <c r="A21" s="668"/>
      <c r="B21" s="677"/>
      <c r="C21" s="677"/>
      <c r="D21" s="24">
        <v>220</v>
      </c>
      <c r="E21" s="24">
        <v>14</v>
      </c>
      <c r="F21" s="24"/>
      <c r="G21" s="24"/>
      <c r="H21" s="453"/>
      <c r="I21" s="420"/>
      <c r="J21" s="451"/>
      <c r="K21" s="451"/>
      <c r="L21" s="475"/>
      <c r="M21" s="473"/>
      <c r="N21" s="487"/>
      <c r="O21" s="487"/>
      <c r="P21" s="487"/>
      <c r="Q21" s="487"/>
    </row>
    <row r="22" spans="1:17" ht="15">
      <c r="A22" s="668"/>
      <c r="B22" s="677"/>
      <c r="C22" s="677"/>
      <c r="D22" s="24" t="s">
        <v>306</v>
      </c>
      <c r="E22" s="52">
        <v>7.8</v>
      </c>
      <c r="F22" s="24">
        <v>2</v>
      </c>
      <c r="G22" s="24">
        <v>2</v>
      </c>
      <c r="H22" s="453">
        <v>2</v>
      </c>
      <c r="I22" s="420">
        <v>2</v>
      </c>
      <c r="J22" s="451">
        <f>E22*F22</f>
        <v>15.6</v>
      </c>
      <c r="K22" s="451">
        <f>E22*G22</f>
        <v>15.6</v>
      </c>
      <c r="L22" s="475">
        <f>H22*E22</f>
        <v>15.6</v>
      </c>
      <c r="M22" s="473">
        <f>I22*E22</f>
        <v>15.6</v>
      </c>
      <c r="N22" s="487">
        <v>15.6</v>
      </c>
      <c r="O22" s="487">
        <v>15.6</v>
      </c>
      <c r="P22" s="487">
        <v>15.6</v>
      </c>
      <c r="Q22" s="487">
        <v>15.6</v>
      </c>
    </row>
    <row r="23" spans="1:17" ht="15">
      <c r="A23" s="668"/>
      <c r="B23" s="677"/>
      <c r="C23" s="677"/>
      <c r="D23" s="24">
        <v>35</v>
      </c>
      <c r="E23" s="24">
        <v>2.1</v>
      </c>
      <c r="F23" s="24"/>
      <c r="G23" s="24"/>
      <c r="H23" s="453"/>
      <c r="I23" s="420"/>
      <c r="J23" s="451"/>
      <c r="K23" s="451"/>
      <c r="L23" s="475"/>
      <c r="M23" s="473"/>
      <c r="N23" s="487"/>
      <c r="O23" s="487"/>
      <c r="P23" s="487"/>
      <c r="Q23" s="487"/>
    </row>
    <row r="24" spans="1:17" ht="15">
      <c r="A24" s="669"/>
      <c r="B24" s="678"/>
      <c r="C24" s="678"/>
      <c r="D24" s="25" t="s">
        <v>309</v>
      </c>
      <c r="E24" s="53">
        <v>1</v>
      </c>
      <c r="F24" s="24">
        <v>9</v>
      </c>
      <c r="G24" s="24">
        <v>2</v>
      </c>
      <c r="H24" s="453">
        <v>2</v>
      </c>
      <c r="I24" s="420">
        <v>10</v>
      </c>
      <c r="J24" s="451">
        <f>E24*F24</f>
        <v>9</v>
      </c>
      <c r="K24" s="451">
        <f>E24*G24</f>
        <v>2</v>
      </c>
      <c r="L24" s="535"/>
      <c r="M24" s="473">
        <f>I24*E24</f>
        <v>10</v>
      </c>
      <c r="N24" s="487">
        <v>10</v>
      </c>
      <c r="O24" s="487">
        <v>11</v>
      </c>
      <c r="P24" s="487">
        <v>11</v>
      </c>
      <c r="Q24" s="487">
        <v>12</v>
      </c>
    </row>
    <row r="25" spans="1:17" ht="15">
      <c r="A25" s="667">
        <v>3</v>
      </c>
      <c r="B25" s="676" t="s">
        <v>310</v>
      </c>
      <c r="C25" s="676" t="s">
        <v>311</v>
      </c>
      <c r="D25" s="24">
        <v>1150</v>
      </c>
      <c r="E25" s="24">
        <v>180</v>
      </c>
      <c r="F25" s="24"/>
      <c r="G25" s="24"/>
      <c r="H25" s="453"/>
      <c r="I25" s="420"/>
      <c r="J25" s="451"/>
      <c r="K25" s="451"/>
      <c r="L25" s="475"/>
      <c r="M25" s="473"/>
      <c r="N25" s="487"/>
      <c r="O25" s="487"/>
      <c r="P25" s="487"/>
      <c r="Q25" s="487"/>
    </row>
    <row r="26" spans="1:17" ht="15">
      <c r="A26" s="668"/>
      <c r="B26" s="677"/>
      <c r="C26" s="677"/>
      <c r="D26" s="24">
        <v>750</v>
      </c>
      <c r="E26" s="24">
        <v>130</v>
      </c>
      <c r="F26" s="24"/>
      <c r="G26" s="24"/>
      <c r="H26" s="453"/>
      <c r="I26" s="420"/>
      <c r="J26" s="451"/>
      <c r="K26" s="451"/>
      <c r="L26" s="475"/>
      <c r="M26" s="473"/>
      <c r="N26" s="487"/>
      <c r="O26" s="487"/>
      <c r="P26" s="487"/>
      <c r="Q26" s="487"/>
    </row>
    <row r="27" spans="1:17" ht="15">
      <c r="A27" s="668"/>
      <c r="B27" s="677"/>
      <c r="C27" s="677"/>
      <c r="D27" s="24" t="s">
        <v>305</v>
      </c>
      <c r="E27" s="24">
        <v>88</v>
      </c>
      <c r="F27" s="24"/>
      <c r="G27" s="24"/>
      <c r="H27" s="453"/>
      <c r="I27" s="420"/>
      <c r="J27" s="451"/>
      <c r="K27" s="451"/>
      <c r="L27" s="475"/>
      <c r="M27" s="473"/>
      <c r="N27" s="487"/>
      <c r="O27" s="487"/>
      <c r="P27" s="487"/>
      <c r="Q27" s="487"/>
    </row>
    <row r="28" spans="1:17" ht="15">
      <c r="A28" s="668"/>
      <c r="B28" s="677"/>
      <c r="C28" s="677"/>
      <c r="D28" s="24">
        <v>330</v>
      </c>
      <c r="E28" s="24">
        <v>66</v>
      </c>
      <c r="F28" s="24"/>
      <c r="G28" s="24"/>
      <c r="H28" s="453"/>
      <c r="I28" s="420"/>
      <c r="J28" s="451"/>
      <c r="K28" s="451"/>
      <c r="L28" s="475"/>
      <c r="M28" s="473"/>
      <c r="N28" s="487"/>
      <c r="O28" s="487"/>
      <c r="P28" s="487"/>
      <c r="Q28" s="487"/>
    </row>
    <row r="29" spans="1:17" ht="15">
      <c r="A29" s="668"/>
      <c r="B29" s="677"/>
      <c r="C29" s="677"/>
      <c r="D29" s="24">
        <v>220</v>
      </c>
      <c r="E29" s="24">
        <v>43</v>
      </c>
      <c r="F29" s="24"/>
      <c r="G29" s="24"/>
      <c r="H29" s="453"/>
      <c r="I29" s="420"/>
      <c r="J29" s="451"/>
      <c r="K29" s="451"/>
      <c r="L29" s="475"/>
      <c r="M29" s="473"/>
      <c r="N29" s="487"/>
      <c r="O29" s="487"/>
      <c r="P29" s="487"/>
      <c r="Q29" s="487"/>
    </row>
    <row r="30" spans="1:17" ht="15">
      <c r="A30" s="668"/>
      <c r="B30" s="677"/>
      <c r="C30" s="677"/>
      <c r="D30" s="24" t="s">
        <v>306</v>
      </c>
      <c r="E30" s="52">
        <v>26</v>
      </c>
      <c r="F30" s="24"/>
      <c r="G30" s="24"/>
      <c r="H30" s="453"/>
      <c r="I30" s="420"/>
      <c r="J30" s="451"/>
      <c r="K30" s="451"/>
      <c r="L30" s="475"/>
      <c r="M30" s="473"/>
      <c r="N30" s="487"/>
      <c r="O30" s="487"/>
      <c r="P30" s="487"/>
      <c r="Q30" s="487"/>
    </row>
    <row r="31" spans="1:17" ht="15">
      <c r="A31" s="668"/>
      <c r="B31" s="677"/>
      <c r="C31" s="677"/>
      <c r="D31" s="24">
        <v>35</v>
      </c>
      <c r="E31" s="24">
        <v>11</v>
      </c>
      <c r="F31" s="24"/>
      <c r="G31" s="24"/>
      <c r="H31" s="453"/>
      <c r="I31" s="420"/>
      <c r="J31" s="451"/>
      <c r="K31" s="451"/>
      <c r="L31" s="475"/>
      <c r="M31" s="473"/>
      <c r="N31" s="487"/>
      <c r="O31" s="487"/>
      <c r="P31" s="487"/>
      <c r="Q31" s="487"/>
    </row>
    <row r="32" spans="1:17" ht="15">
      <c r="A32" s="669"/>
      <c r="B32" s="678"/>
      <c r="C32" s="678"/>
      <c r="D32" s="25" t="s">
        <v>309</v>
      </c>
      <c r="E32" s="52">
        <v>5.5</v>
      </c>
      <c r="F32" s="24">
        <v>33</v>
      </c>
      <c r="G32" s="24">
        <v>33</v>
      </c>
      <c r="H32" s="453">
        <v>33</v>
      </c>
      <c r="I32" s="420">
        <v>33</v>
      </c>
      <c r="J32" s="451">
        <f>E32*F32</f>
        <v>181.5</v>
      </c>
      <c r="K32" s="451">
        <f>E32*G32</f>
        <v>181.5</v>
      </c>
      <c r="L32" s="475">
        <f>H32*E32</f>
        <v>181.5</v>
      </c>
      <c r="M32" s="473">
        <f>I32*E32</f>
        <v>181.5</v>
      </c>
      <c r="N32" s="487">
        <v>181.5</v>
      </c>
      <c r="O32" s="487">
        <v>181.5</v>
      </c>
      <c r="P32" s="487">
        <v>181.5</v>
      </c>
      <c r="Q32" s="487">
        <v>181.5</v>
      </c>
    </row>
    <row r="33" spans="1:17" ht="15">
      <c r="A33" s="667">
        <v>4</v>
      </c>
      <c r="B33" s="676" t="s">
        <v>312</v>
      </c>
      <c r="C33" s="682" t="s">
        <v>313</v>
      </c>
      <c r="D33" s="24">
        <v>220</v>
      </c>
      <c r="E33" s="24">
        <v>23</v>
      </c>
      <c r="F33" s="24"/>
      <c r="G33" s="24"/>
      <c r="H33" s="453"/>
      <c r="I33" s="420"/>
      <c r="J33" s="451"/>
      <c r="K33" s="451"/>
      <c r="L33" s="475"/>
      <c r="M33" s="473"/>
      <c r="N33" s="487"/>
      <c r="O33" s="487"/>
      <c r="P33" s="487"/>
      <c r="Q33" s="487"/>
    </row>
    <row r="34" spans="1:17" ht="15">
      <c r="A34" s="668"/>
      <c r="B34" s="677"/>
      <c r="C34" s="683"/>
      <c r="D34" s="24" t="s">
        <v>306</v>
      </c>
      <c r="E34" s="24">
        <v>14</v>
      </c>
      <c r="F34" s="24">
        <v>2</v>
      </c>
      <c r="G34" s="24">
        <v>2</v>
      </c>
      <c r="H34" s="453">
        <v>2</v>
      </c>
      <c r="I34" s="420">
        <v>2</v>
      </c>
      <c r="J34" s="451">
        <f>E34*F34</f>
        <v>28</v>
      </c>
      <c r="K34" s="451">
        <f>E34*G34</f>
        <v>28</v>
      </c>
      <c r="L34" s="475">
        <f>H34*E34</f>
        <v>28</v>
      </c>
      <c r="M34" s="473">
        <f>I34*E34</f>
        <v>28</v>
      </c>
      <c r="N34" s="487">
        <v>28</v>
      </c>
      <c r="O34" s="487">
        <v>28</v>
      </c>
      <c r="P34" s="487">
        <v>28</v>
      </c>
      <c r="Q34" s="487">
        <v>28</v>
      </c>
    </row>
    <row r="35" spans="1:17" ht="15">
      <c r="A35" s="668"/>
      <c r="B35" s="677"/>
      <c r="C35" s="683"/>
      <c r="D35" s="24">
        <v>35</v>
      </c>
      <c r="E35" s="24">
        <v>6.4</v>
      </c>
      <c r="F35" s="24"/>
      <c r="G35" s="24"/>
      <c r="H35" s="453"/>
      <c r="I35" s="420"/>
      <c r="J35" s="451"/>
      <c r="K35" s="451"/>
      <c r="L35" s="475"/>
      <c r="M35" s="473"/>
      <c r="N35" s="487"/>
      <c r="O35" s="487"/>
      <c r="P35" s="487"/>
      <c r="Q35" s="487"/>
    </row>
    <row r="36" spans="1:17" ht="15">
      <c r="A36" s="669"/>
      <c r="B36" s="678"/>
      <c r="C36" s="684"/>
      <c r="D36" s="25" t="s">
        <v>309</v>
      </c>
      <c r="E36" s="52">
        <v>3.1</v>
      </c>
      <c r="F36" s="24"/>
      <c r="G36" s="24"/>
      <c r="H36" s="453"/>
      <c r="I36" s="420"/>
      <c r="J36" s="451"/>
      <c r="K36" s="451"/>
      <c r="L36" s="475"/>
      <c r="M36" s="473"/>
      <c r="N36" s="487"/>
      <c r="O36" s="487"/>
      <c r="P36" s="487"/>
      <c r="Q36" s="487"/>
    </row>
    <row r="37" spans="1:17" ht="15">
      <c r="A37" s="667">
        <v>5</v>
      </c>
      <c r="B37" s="676" t="s">
        <v>314</v>
      </c>
      <c r="C37" s="679" t="s">
        <v>308</v>
      </c>
      <c r="D37" s="24" t="s">
        <v>305</v>
      </c>
      <c r="E37" s="24">
        <v>35</v>
      </c>
      <c r="F37" s="24"/>
      <c r="G37" s="24"/>
      <c r="H37" s="453"/>
      <c r="I37" s="420"/>
      <c r="J37" s="451"/>
      <c r="K37" s="451"/>
      <c r="L37" s="475"/>
      <c r="M37" s="473"/>
      <c r="N37" s="487"/>
      <c r="O37" s="487"/>
      <c r="P37" s="487"/>
      <c r="Q37" s="487"/>
    </row>
    <row r="38" spans="1:17" ht="15">
      <c r="A38" s="668"/>
      <c r="B38" s="677"/>
      <c r="C38" s="680"/>
      <c r="D38" s="24">
        <v>330</v>
      </c>
      <c r="E38" s="24">
        <v>24</v>
      </c>
      <c r="F38" s="24"/>
      <c r="G38" s="24"/>
      <c r="H38" s="453"/>
      <c r="I38" s="420"/>
      <c r="J38" s="451"/>
      <c r="K38" s="451"/>
      <c r="L38" s="475"/>
      <c r="M38" s="473"/>
      <c r="N38" s="487"/>
      <c r="O38" s="487"/>
      <c r="P38" s="487"/>
      <c r="Q38" s="487"/>
    </row>
    <row r="39" spans="1:17" ht="15">
      <c r="A39" s="668"/>
      <c r="B39" s="677"/>
      <c r="C39" s="680"/>
      <c r="D39" s="24">
        <v>220</v>
      </c>
      <c r="E39" s="24">
        <v>19</v>
      </c>
      <c r="F39" s="24"/>
      <c r="G39" s="24"/>
      <c r="H39" s="453"/>
      <c r="I39" s="420"/>
      <c r="J39" s="451"/>
      <c r="K39" s="451"/>
      <c r="L39" s="475"/>
      <c r="M39" s="473"/>
      <c r="N39" s="487"/>
      <c r="O39" s="487"/>
      <c r="P39" s="487"/>
      <c r="Q39" s="487"/>
    </row>
    <row r="40" spans="1:17" ht="15">
      <c r="A40" s="668"/>
      <c r="B40" s="677"/>
      <c r="C40" s="680"/>
      <c r="D40" s="24" t="s">
        <v>306</v>
      </c>
      <c r="E40" s="24">
        <v>9.5</v>
      </c>
      <c r="F40" s="24"/>
      <c r="G40" s="24"/>
      <c r="H40" s="453"/>
      <c r="I40" s="420"/>
      <c r="J40" s="451"/>
      <c r="K40" s="451"/>
      <c r="L40" s="475"/>
      <c r="M40" s="473"/>
      <c r="N40" s="487"/>
      <c r="O40" s="487"/>
      <c r="P40" s="487"/>
      <c r="Q40" s="487"/>
    </row>
    <row r="41" spans="1:17" ht="15">
      <c r="A41" s="669"/>
      <c r="B41" s="678"/>
      <c r="C41" s="681"/>
      <c r="D41" s="25" t="s">
        <v>315</v>
      </c>
      <c r="E41" s="52">
        <v>4.7</v>
      </c>
      <c r="F41" s="24"/>
      <c r="G41" s="24"/>
      <c r="H41" s="453"/>
      <c r="I41" s="420"/>
      <c r="J41" s="451"/>
      <c r="K41" s="451"/>
      <c r="L41" s="475"/>
      <c r="M41" s="473"/>
      <c r="N41" s="487"/>
      <c r="O41" s="487"/>
      <c r="P41" s="487"/>
      <c r="Q41" s="487"/>
    </row>
    <row r="42" spans="1:17" ht="15.75" customHeight="1">
      <c r="A42" s="24">
        <v>6</v>
      </c>
      <c r="B42" s="54" t="s">
        <v>316</v>
      </c>
      <c r="C42" s="55" t="s">
        <v>313</v>
      </c>
      <c r="D42" s="25" t="s">
        <v>309</v>
      </c>
      <c r="E42" s="24">
        <v>2.3</v>
      </c>
      <c r="F42" s="24">
        <v>4</v>
      </c>
      <c r="G42" s="24">
        <v>5</v>
      </c>
      <c r="H42" s="453">
        <v>4</v>
      </c>
      <c r="I42" s="420">
        <v>4</v>
      </c>
      <c r="J42" s="451">
        <f>E42*F42</f>
        <v>9.2</v>
      </c>
      <c r="K42" s="451">
        <f>E42*G42</f>
        <v>11.5</v>
      </c>
      <c r="L42" s="475">
        <f>H42*E42</f>
        <v>9.2</v>
      </c>
      <c r="M42" s="473">
        <f>I42*E42</f>
        <v>9.2</v>
      </c>
      <c r="N42" s="487">
        <v>9.2</v>
      </c>
      <c r="O42" s="487">
        <v>11.5</v>
      </c>
      <c r="P42" s="487">
        <v>11.5</v>
      </c>
      <c r="Q42" s="487">
        <v>13.8</v>
      </c>
    </row>
    <row r="43" spans="1:17" ht="42">
      <c r="A43" s="56">
        <v>7</v>
      </c>
      <c r="B43" s="54" t="s">
        <v>317</v>
      </c>
      <c r="C43" s="57" t="s">
        <v>313</v>
      </c>
      <c r="D43" s="58" t="s">
        <v>309</v>
      </c>
      <c r="E43" s="56">
        <v>26</v>
      </c>
      <c r="F43" s="56"/>
      <c r="G43" s="56"/>
      <c r="H43" s="470"/>
      <c r="I43" s="471"/>
      <c r="J43" s="468"/>
      <c r="K43" s="468"/>
      <c r="L43" s="475"/>
      <c r="M43" s="473"/>
      <c r="N43" s="487"/>
      <c r="O43" s="487"/>
      <c r="P43" s="487"/>
      <c r="Q43" s="487"/>
    </row>
    <row r="44" spans="1:17" ht="30.75" customHeight="1">
      <c r="A44" s="56">
        <v>8</v>
      </c>
      <c r="B44" s="59" t="s">
        <v>318</v>
      </c>
      <c r="C44" s="57" t="s">
        <v>308</v>
      </c>
      <c r="D44" s="58" t="s">
        <v>309</v>
      </c>
      <c r="E44" s="56">
        <v>48</v>
      </c>
      <c r="F44" s="56"/>
      <c r="G44" s="56"/>
      <c r="H44" s="470"/>
      <c r="I44" s="471"/>
      <c r="J44" s="468"/>
      <c r="K44" s="468"/>
      <c r="L44" s="475"/>
      <c r="M44" s="473"/>
      <c r="N44" s="487"/>
      <c r="O44" s="487"/>
      <c r="P44" s="487"/>
      <c r="Q44" s="487"/>
    </row>
    <row r="45" spans="1:17" ht="15">
      <c r="A45" s="667">
        <v>9</v>
      </c>
      <c r="B45" s="676" t="s">
        <v>319</v>
      </c>
      <c r="C45" s="679" t="s">
        <v>320</v>
      </c>
      <c r="D45" s="24">
        <v>35</v>
      </c>
      <c r="E45" s="24">
        <v>2.4</v>
      </c>
      <c r="F45" s="24"/>
      <c r="G45" s="24"/>
      <c r="H45" s="453"/>
      <c r="I45" s="420"/>
      <c r="J45" s="451"/>
      <c r="K45" s="451"/>
      <c r="L45" s="475"/>
      <c r="M45" s="473"/>
      <c r="N45" s="487"/>
      <c r="O45" s="487"/>
      <c r="P45" s="487"/>
      <c r="Q45" s="487"/>
    </row>
    <row r="46" spans="1:17" ht="15">
      <c r="A46" s="669"/>
      <c r="B46" s="678"/>
      <c r="C46" s="681"/>
      <c r="D46" s="25" t="s">
        <v>309</v>
      </c>
      <c r="E46" s="52">
        <v>2.4</v>
      </c>
      <c r="F46" s="24"/>
      <c r="G46" s="24"/>
      <c r="H46" s="453"/>
      <c r="I46" s="420"/>
      <c r="J46" s="451"/>
      <c r="K46" s="451"/>
      <c r="L46" s="475"/>
      <c r="M46" s="473"/>
      <c r="N46" s="487"/>
      <c r="O46" s="487"/>
      <c r="P46" s="487"/>
      <c r="Q46" s="487"/>
    </row>
    <row r="47" spans="1:17" ht="27">
      <c r="A47" s="56">
        <v>10</v>
      </c>
      <c r="B47" s="59" t="s">
        <v>321</v>
      </c>
      <c r="C47" s="57" t="s">
        <v>322</v>
      </c>
      <c r="D47" s="58" t="s">
        <v>309</v>
      </c>
      <c r="E47" s="56">
        <v>2.5</v>
      </c>
      <c r="F47" s="56"/>
      <c r="G47" s="56"/>
      <c r="H47" s="470"/>
      <c r="I47" s="471"/>
      <c r="J47" s="468"/>
      <c r="K47" s="468"/>
      <c r="L47" s="475"/>
      <c r="M47" s="473"/>
      <c r="N47" s="487"/>
      <c r="O47" s="487"/>
      <c r="P47" s="487"/>
      <c r="Q47" s="487"/>
    </row>
    <row r="48" spans="1:17" ht="27">
      <c r="A48" s="56">
        <v>11</v>
      </c>
      <c r="B48" s="59" t="s">
        <v>323</v>
      </c>
      <c r="C48" s="57" t="s">
        <v>324</v>
      </c>
      <c r="D48" s="58" t="s">
        <v>309</v>
      </c>
      <c r="E48" s="56">
        <v>2.3</v>
      </c>
      <c r="F48" s="56">
        <v>5</v>
      </c>
      <c r="G48" s="56">
        <v>6</v>
      </c>
      <c r="H48" s="470"/>
      <c r="I48" s="471">
        <v>6</v>
      </c>
      <c r="J48" s="468">
        <f>E48*F48</f>
        <v>11.5</v>
      </c>
      <c r="K48" s="468">
        <f>E48*G48</f>
        <v>13.799999999999999</v>
      </c>
      <c r="L48" s="475"/>
      <c r="M48" s="473">
        <f>I48*E48</f>
        <v>13.799999999999999</v>
      </c>
      <c r="N48" s="487">
        <v>13.8</v>
      </c>
      <c r="O48" s="487">
        <v>16.1</v>
      </c>
      <c r="P48" s="487">
        <v>16.1</v>
      </c>
      <c r="Q48" s="487">
        <v>18.4</v>
      </c>
    </row>
    <row r="49" spans="1:17" ht="31.5" customHeight="1">
      <c r="A49" s="56">
        <v>12</v>
      </c>
      <c r="B49" s="59" t="s">
        <v>325</v>
      </c>
      <c r="C49" s="57" t="s">
        <v>324</v>
      </c>
      <c r="D49" s="58" t="s">
        <v>309</v>
      </c>
      <c r="E49" s="56">
        <v>3</v>
      </c>
      <c r="F49" s="56">
        <v>1</v>
      </c>
      <c r="G49" s="56">
        <v>1</v>
      </c>
      <c r="H49" s="470">
        <v>1</v>
      </c>
      <c r="I49" s="471">
        <v>1</v>
      </c>
      <c r="J49" s="468">
        <f>E49*F49</f>
        <v>3</v>
      </c>
      <c r="K49" s="468">
        <f>E49*G49</f>
        <v>3</v>
      </c>
      <c r="L49" s="475">
        <f>H49*E49</f>
        <v>3</v>
      </c>
      <c r="M49" s="473">
        <f>I49*E49</f>
        <v>3</v>
      </c>
      <c r="N49" s="487">
        <v>3</v>
      </c>
      <c r="O49" s="487">
        <v>3</v>
      </c>
      <c r="P49" s="487">
        <v>3</v>
      </c>
      <c r="Q49" s="487">
        <v>3</v>
      </c>
    </row>
    <row r="50" spans="1:17" ht="31.5" customHeight="1">
      <c r="A50" s="56">
        <v>13</v>
      </c>
      <c r="B50" s="59" t="s">
        <v>326</v>
      </c>
      <c r="C50" s="57" t="s">
        <v>304</v>
      </c>
      <c r="D50" s="58" t="s">
        <v>315</v>
      </c>
      <c r="E50" s="56">
        <v>3.5</v>
      </c>
      <c r="F50" s="56"/>
      <c r="G50" s="56"/>
      <c r="H50" s="470"/>
      <c r="I50" s="471"/>
      <c r="J50" s="468"/>
      <c r="K50" s="468"/>
      <c r="L50" s="475"/>
      <c r="M50" s="473"/>
      <c r="N50" s="487"/>
      <c r="O50" s="487"/>
      <c r="P50" s="487"/>
      <c r="Q50" s="487"/>
    </row>
    <row r="51" spans="1:17" ht="15">
      <c r="A51" s="667">
        <v>14</v>
      </c>
      <c r="B51" s="670" t="s">
        <v>291</v>
      </c>
      <c r="C51" s="671"/>
      <c r="D51" s="24" t="s">
        <v>444</v>
      </c>
      <c r="E51" s="24" t="s">
        <v>6</v>
      </c>
      <c r="F51" s="24" t="s">
        <v>6</v>
      </c>
      <c r="G51" s="24"/>
      <c r="H51" s="453"/>
      <c r="I51" s="420"/>
      <c r="J51" s="451">
        <f>SUM(J10:J15,J17:J22,J34)</f>
        <v>148.6</v>
      </c>
      <c r="K51" s="451">
        <f>SUM(K10:K15,K17:K22,K34)</f>
        <v>148.6</v>
      </c>
      <c r="L51" s="475"/>
      <c r="M51" s="473"/>
      <c r="N51" s="487"/>
      <c r="O51" s="487"/>
      <c r="P51" s="487"/>
      <c r="Q51" s="487"/>
    </row>
    <row r="52" spans="1:17" ht="15">
      <c r="A52" s="668"/>
      <c r="B52" s="672"/>
      <c r="C52" s="673"/>
      <c r="D52" s="24" t="s">
        <v>0</v>
      </c>
      <c r="E52" s="24" t="s">
        <v>6</v>
      </c>
      <c r="F52" s="24" t="s">
        <v>6</v>
      </c>
      <c r="G52" s="24"/>
      <c r="H52" s="453"/>
      <c r="I52" s="420"/>
      <c r="J52" s="451">
        <f>SUM(J24,J32,J42,J48,J49)</f>
        <v>214.2</v>
      </c>
      <c r="K52" s="451">
        <f>SUM(K24,K32,K42,K48,K49)</f>
        <v>211.8</v>
      </c>
      <c r="L52" s="475"/>
      <c r="M52" s="473"/>
      <c r="N52" s="487"/>
      <c r="O52" s="487"/>
      <c r="P52" s="487"/>
      <c r="Q52" s="487"/>
    </row>
    <row r="53" spans="1:17" ht="15">
      <c r="A53" s="669"/>
      <c r="B53" s="674"/>
      <c r="C53" s="675"/>
      <c r="D53" s="25" t="s">
        <v>443</v>
      </c>
      <c r="E53" s="52" t="s">
        <v>6</v>
      </c>
      <c r="F53" s="24" t="s">
        <v>6</v>
      </c>
      <c r="G53" s="24"/>
      <c r="H53" s="453"/>
      <c r="I53" s="420"/>
      <c r="J53" s="451"/>
      <c r="K53" s="451"/>
      <c r="L53" s="475"/>
      <c r="M53" s="473"/>
      <c r="N53" s="487"/>
      <c r="O53" s="487"/>
      <c r="P53" s="487"/>
      <c r="Q53" s="487"/>
    </row>
    <row r="54" spans="1:17" ht="15">
      <c r="A54" s="144"/>
      <c r="B54" s="145" t="s">
        <v>262</v>
      </c>
      <c r="C54" s="145"/>
      <c r="D54" s="146"/>
      <c r="E54" s="147"/>
      <c r="F54" s="148"/>
      <c r="G54" s="148"/>
      <c r="H54" s="319"/>
      <c r="I54" s="319"/>
      <c r="J54" s="148">
        <f>J51+J52+J53</f>
        <v>362.79999999999995</v>
      </c>
      <c r="K54" s="148">
        <f>K51+K52+K53</f>
        <v>360.4</v>
      </c>
      <c r="L54" s="477">
        <f aca="true" t="shared" si="0" ref="L54:Q54">SUM(L15:L53)</f>
        <v>342.3</v>
      </c>
      <c r="M54" s="474">
        <f t="shared" si="0"/>
        <v>366.1</v>
      </c>
      <c r="N54" s="489">
        <f t="shared" si="0"/>
        <v>366.1</v>
      </c>
      <c r="O54" s="489">
        <f t="shared" si="0"/>
        <v>371.70000000000005</v>
      </c>
      <c r="P54" s="489">
        <f t="shared" si="0"/>
        <v>371.70000000000005</v>
      </c>
      <c r="Q54" s="489">
        <f t="shared" si="0"/>
        <v>377.3</v>
      </c>
    </row>
    <row r="55" spans="1:17" ht="60.75" customHeight="1">
      <c r="A55" s="23"/>
      <c r="B55" s="23" t="s">
        <v>8</v>
      </c>
      <c r="C55" s="23"/>
      <c r="D55" s="23"/>
      <c r="E55" s="23"/>
      <c r="F55" s="23"/>
      <c r="G55" s="23"/>
      <c r="H55" s="320"/>
      <c r="I55" s="469"/>
      <c r="J55" s="23"/>
      <c r="K55" s="23"/>
      <c r="L55" s="324"/>
      <c r="M55" s="324"/>
      <c r="N55" s="288"/>
      <c r="O55" s="288"/>
      <c r="P55" s="288"/>
      <c r="Q55" s="288"/>
    </row>
    <row r="56" spans="1:11" ht="15.75" customHeight="1">
      <c r="A56" s="654" t="s">
        <v>327</v>
      </c>
      <c r="B56" s="654"/>
      <c r="C56" s="654"/>
      <c r="D56" s="654"/>
      <c r="E56" s="654"/>
      <c r="F56" s="654"/>
      <c r="G56" s="654"/>
      <c r="H56" s="654"/>
      <c r="I56" s="654"/>
      <c r="J56" s="654"/>
      <c r="K56" s="518"/>
    </row>
    <row r="57" spans="1:11" ht="15">
      <c r="A57" s="654" t="s">
        <v>328</v>
      </c>
      <c r="B57" s="654"/>
      <c r="C57" s="654"/>
      <c r="D57" s="654"/>
      <c r="E57" s="654"/>
      <c r="F57" s="654"/>
      <c r="G57" s="654"/>
      <c r="H57" s="654"/>
      <c r="I57" s="654"/>
      <c r="J57" s="654"/>
      <c r="K57" s="518"/>
    </row>
    <row r="58" spans="1:11" ht="43.5" customHeight="1">
      <c r="A58" s="654" t="s">
        <v>329</v>
      </c>
      <c r="B58" s="654"/>
      <c r="C58" s="654"/>
      <c r="D58" s="654"/>
      <c r="E58" s="654"/>
      <c r="F58" s="654"/>
      <c r="G58" s="654"/>
      <c r="H58" s="654"/>
      <c r="I58" s="654"/>
      <c r="J58" s="654"/>
      <c r="K58" s="518"/>
    </row>
    <row r="59" spans="1:11" ht="29.25" customHeight="1">
      <c r="A59" s="654" t="s">
        <v>330</v>
      </c>
      <c r="B59" s="654"/>
      <c r="C59" s="654"/>
      <c r="D59" s="654"/>
      <c r="E59" s="654"/>
      <c r="F59" s="654"/>
      <c r="G59" s="654"/>
      <c r="H59" s="654"/>
      <c r="I59" s="654"/>
      <c r="J59" s="654"/>
      <c r="K59" s="518"/>
    </row>
    <row r="60" spans="1:11" ht="43.5" customHeight="1">
      <c r="A60" s="654" t="s">
        <v>331</v>
      </c>
      <c r="B60" s="654"/>
      <c r="C60" s="654"/>
      <c r="D60" s="654"/>
      <c r="E60" s="654"/>
      <c r="F60" s="654"/>
      <c r="G60" s="654"/>
      <c r="H60" s="654"/>
      <c r="I60" s="654"/>
      <c r="J60" s="654"/>
      <c r="K60" s="518"/>
    </row>
    <row r="61" spans="1:11" ht="58.5" customHeight="1">
      <c r="A61" s="654" t="s">
        <v>332</v>
      </c>
      <c r="B61" s="654"/>
      <c r="C61" s="654"/>
      <c r="D61" s="654"/>
      <c r="E61" s="654"/>
      <c r="F61" s="654"/>
      <c r="G61" s="654"/>
      <c r="H61" s="654"/>
      <c r="I61" s="654"/>
      <c r="J61" s="654"/>
      <c r="K61" s="518"/>
    </row>
    <row r="62" spans="1:11" ht="43.5" customHeight="1">
      <c r="A62" s="654" t="s">
        <v>333</v>
      </c>
      <c r="B62" s="654"/>
      <c r="C62" s="654"/>
      <c r="D62" s="654"/>
      <c r="E62" s="654"/>
      <c r="F62" s="654"/>
      <c r="G62" s="654"/>
      <c r="H62" s="654"/>
      <c r="I62" s="654"/>
      <c r="J62" s="654"/>
      <c r="K62" s="518"/>
    </row>
    <row r="63" spans="1:11" ht="29.25" customHeight="1">
      <c r="A63" s="654" t="s">
        <v>334</v>
      </c>
      <c r="B63" s="654"/>
      <c r="C63" s="654"/>
      <c r="D63" s="654"/>
      <c r="E63" s="654"/>
      <c r="F63" s="654"/>
      <c r="G63" s="654"/>
      <c r="H63" s="654"/>
      <c r="I63" s="654"/>
      <c r="J63" s="654"/>
      <c r="K63" s="518"/>
    </row>
    <row r="64" spans="1:11" ht="29.25" customHeight="1">
      <c r="A64" s="654" t="s">
        <v>335</v>
      </c>
      <c r="B64" s="654"/>
      <c r="C64" s="654"/>
      <c r="D64" s="654"/>
      <c r="E64" s="654"/>
      <c r="F64" s="654"/>
      <c r="G64" s="654"/>
      <c r="H64" s="654"/>
      <c r="I64" s="654"/>
      <c r="J64" s="654"/>
      <c r="K64" s="518"/>
    </row>
    <row r="65" spans="1:11" ht="29.25" customHeight="1">
      <c r="A65" s="654" t="s">
        <v>336</v>
      </c>
      <c r="B65" s="654"/>
      <c r="C65" s="654"/>
      <c r="D65" s="654"/>
      <c r="E65" s="654"/>
      <c r="F65" s="654"/>
      <c r="G65" s="654"/>
      <c r="H65" s="654"/>
      <c r="I65" s="654"/>
      <c r="J65" s="654"/>
      <c r="K65" s="518"/>
    </row>
    <row r="66" ht="3" customHeight="1"/>
  </sheetData>
  <sheetProtection/>
  <mergeCells count="37">
    <mergeCell ref="A3:J3"/>
    <mergeCell ref="A4:J4"/>
    <mergeCell ref="A5:J5"/>
    <mergeCell ref="A7:A8"/>
    <mergeCell ref="B7:B8"/>
    <mergeCell ref="C7:C8"/>
    <mergeCell ref="D7:D8"/>
    <mergeCell ref="A10:A16"/>
    <mergeCell ref="B10:B16"/>
    <mergeCell ref="C10:C16"/>
    <mergeCell ref="A17:A24"/>
    <mergeCell ref="B17:B24"/>
    <mergeCell ref="C17:C24"/>
    <mergeCell ref="A25:A32"/>
    <mergeCell ref="B25:B32"/>
    <mergeCell ref="C25:C32"/>
    <mergeCell ref="A33:A36"/>
    <mergeCell ref="B33:B36"/>
    <mergeCell ref="C33:C36"/>
    <mergeCell ref="A61:J61"/>
    <mergeCell ref="A62:J62"/>
    <mergeCell ref="A37:A41"/>
    <mergeCell ref="B37:B41"/>
    <mergeCell ref="C37:C41"/>
    <mergeCell ref="A45:A46"/>
    <mergeCell ref="B45:B46"/>
    <mergeCell ref="C45:C46"/>
    <mergeCell ref="A63:J63"/>
    <mergeCell ref="A64:J64"/>
    <mergeCell ref="A65:J65"/>
    <mergeCell ref="A51:A53"/>
    <mergeCell ref="B51:C53"/>
    <mergeCell ref="A56:J56"/>
    <mergeCell ref="A57:J57"/>
    <mergeCell ref="A58:J58"/>
    <mergeCell ref="A59:J59"/>
    <mergeCell ref="A60:J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N30"/>
  <sheetViews>
    <sheetView zoomScalePageLayoutView="0" workbookViewId="0" topLeftCell="A4">
      <selection activeCell="H20" sqref="H20"/>
    </sheetView>
  </sheetViews>
  <sheetFormatPr defaultColWidth="9.140625" defaultRowHeight="15"/>
  <cols>
    <col min="4" max="4" width="4.28125" style="0" customWidth="1"/>
    <col min="5" max="5" width="4.7109375" style="0" customWidth="1"/>
    <col min="6" max="6" width="3.57421875" style="0" customWidth="1"/>
    <col min="7" max="7" width="4.28125" style="0" customWidth="1"/>
    <col min="8" max="8" width="12.421875" style="398" bestFit="1" customWidth="1"/>
    <col min="9" max="9" width="13.00390625" style="0" customWidth="1"/>
    <col min="10" max="11" width="5.00390625" style="0" customWidth="1"/>
    <col min="12" max="13" width="4.57421875" style="0" customWidth="1"/>
    <col min="14" max="14" width="4.28125" style="0" customWidth="1"/>
  </cols>
  <sheetData>
    <row r="1" spans="1:14" ht="15">
      <c r="A1" s="593" t="s">
        <v>337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353"/>
    </row>
    <row r="2" spans="1:14" ht="15.75">
      <c r="A2" s="594" t="s">
        <v>523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353"/>
    </row>
    <row r="3" spans="1:14" ht="15">
      <c r="A3" s="353"/>
      <c r="B3" s="353"/>
      <c r="C3" s="353"/>
      <c r="D3" s="353"/>
      <c r="E3" s="353"/>
      <c r="F3" s="353"/>
      <c r="G3" s="353"/>
      <c r="H3" s="399"/>
      <c r="I3" s="353"/>
      <c r="J3" s="353"/>
      <c r="K3" s="353"/>
      <c r="L3" s="353"/>
      <c r="M3" s="353"/>
      <c r="N3" s="353"/>
    </row>
    <row r="4" spans="1:14" ht="33.75">
      <c r="A4" s="357" t="s">
        <v>338</v>
      </c>
      <c r="B4" s="595" t="s">
        <v>339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353"/>
    </row>
    <row r="5" spans="1:14" ht="15">
      <c r="A5" s="353"/>
      <c r="B5" s="353"/>
      <c r="C5" s="353"/>
      <c r="D5" s="353"/>
      <c r="E5" s="353"/>
      <c r="F5" s="353"/>
      <c r="G5" s="353"/>
      <c r="H5" s="399"/>
      <c r="I5" s="353"/>
      <c r="J5" s="353"/>
      <c r="K5" s="353"/>
      <c r="L5" s="353"/>
      <c r="M5" s="353"/>
      <c r="N5" s="353"/>
    </row>
    <row r="6" spans="1:14" ht="15">
      <c r="A6" s="583" t="s">
        <v>174</v>
      </c>
      <c r="B6" s="583"/>
      <c r="C6" s="583"/>
      <c r="D6" s="596" t="s">
        <v>175</v>
      </c>
      <c r="E6" s="596"/>
      <c r="F6" s="596"/>
      <c r="G6" s="596"/>
      <c r="H6" s="391" t="s">
        <v>176</v>
      </c>
      <c r="I6" s="391"/>
      <c r="J6" s="596" t="s">
        <v>177</v>
      </c>
      <c r="K6" s="596"/>
      <c r="L6" s="596"/>
      <c r="M6" s="596"/>
      <c r="N6" s="596"/>
    </row>
    <row r="7" spans="1:14" ht="15">
      <c r="A7" s="603" t="s">
        <v>208</v>
      </c>
      <c r="B7" s="603"/>
      <c r="C7" s="603"/>
      <c r="D7" s="584" t="s">
        <v>178</v>
      </c>
      <c r="E7" s="584" t="s">
        <v>179</v>
      </c>
      <c r="F7" s="584"/>
      <c r="G7" s="584"/>
      <c r="H7" s="392"/>
      <c r="I7" s="584" t="s">
        <v>179</v>
      </c>
      <c r="J7" s="584" t="s">
        <v>178</v>
      </c>
      <c r="K7" s="584"/>
      <c r="L7" s="584" t="s">
        <v>179</v>
      </c>
      <c r="M7" s="584"/>
      <c r="N7" s="584"/>
    </row>
    <row r="8" spans="1:14" ht="15">
      <c r="A8" s="604"/>
      <c r="B8" s="605"/>
      <c r="C8" s="606"/>
      <c r="D8" s="586"/>
      <c r="E8" s="590"/>
      <c r="F8" s="591"/>
      <c r="G8" s="592"/>
      <c r="H8" s="394" t="s">
        <v>178</v>
      </c>
      <c r="I8" s="586"/>
      <c r="J8" s="590"/>
      <c r="K8" s="592"/>
      <c r="L8" s="590"/>
      <c r="M8" s="591"/>
      <c r="N8" s="592"/>
    </row>
    <row r="9" spans="1:14" ht="15">
      <c r="A9" s="581" t="s">
        <v>524</v>
      </c>
      <c r="B9" s="581"/>
      <c r="C9" s="581"/>
      <c r="D9" s="374"/>
      <c r="E9" s="359"/>
      <c r="F9" s="360"/>
      <c r="G9" s="361"/>
      <c r="H9" s="358">
        <v>22437306.53</v>
      </c>
      <c r="I9" s="358">
        <v>22437306.53</v>
      </c>
      <c r="J9" s="359"/>
      <c r="K9" s="361"/>
      <c r="L9" s="359"/>
      <c r="M9" s="360"/>
      <c r="N9" s="361"/>
    </row>
    <row r="10" spans="1:14" ht="15">
      <c r="A10" s="602" t="s">
        <v>209</v>
      </c>
      <c r="B10" s="602"/>
      <c r="C10" s="602"/>
      <c r="D10" s="374"/>
      <c r="E10" s="359"/>
      <c r="F10" s="360"/>
      <c r="G10" s="361"/>
      <c r="H10" s="358">
        <v>11001979.15</v>
      </c>
      <c r="I10" s="358">
        <v>11001979.15</v>
      </c>
      <c r="J10" s="359"/>
      <c r="K10" s="361"/>
      <c r="L10" s="359"/>
      <c r="M10" s="360"/>
      <c r="N10" s="361"/>
    </row>
    <row r="11" spans="1:14" ht="15">
      <c r="A11" s="597" t="s">
        <v>188</v>
      </c>
      <c r="B11" s="597"/>
      <c r="C11" s="597"/>
      <c r="D11" s="246"/>
      <c r="E11" s="248"/>
      <c r="F11" s="368"/>
      <c r="G11" s="247"/>
      <c r="H11" s="369">
        <v>11001979.15</v>
      </c>
      <c r="I11" s="246"/>
      <c r="J11" s="248"/>
      <c r="K11" s="247"/>
      <c r="L11" s="248"/>
      <c r="M11" s="368"/>
      <c r="N11" s="247"/>
    </row>
    <row r="12" spans="1:14" ht="15">
      <c r="A12" s="597" t="s">
        <v>525</v>
      </c>
      <c r="B12" s="597"/>
      <c r="C12" s="597"/>
      <c r="D12" s="246"/>
      <c r="E12" s="248"/>
      <c r="F12" s="368"/>
      <c r="G12" s="247"/>
      <c r="H12" s="247"/>
      <c r="I12" s="369">
        <v>50000</v>
      </c>
      <c r="J12" s="248"/>
      <c r="K12" s="247"/>
      <c r="L12" s="248"/>
      <c r="M12" s="368"/>
      <c r="N12" s="247"/>
    </row>
    <row r="13" spans="1:14" ht="15">
      <c r="A13" s="597" t="s">
        <v>210</v>
      </c>
      <c r="B13" s="597"/>
      <c r="C13" s="597"/>
      <c r="D13" s="246"/>
      <c r="E13" s="248"/>
      <c r="F13" s="368"/>
      <c r="G13" s="247"/>
      <c r="H13" s="247"/>
      <c r="I13" s="369">
        <v>10673245</v>
      </c>
      <c r="J13" s="248"/>
      <c r="K13" s="247"/>
      <c r="L13" s="248"/>
      <c r="M13" s="368"/>
      <c r="N13" s="247"/>
    </row>
    <row r="14" spans="1:14" ht="15">
      <c r="A14" s="597" t="s">
        <v>247</v>
      </c>
      <c r="B14" s="597"/>
      <c r="C14" s="597"/>
      <c r="D14" s="246"/>
      <c r="E14" s="248"/>
      <c r="F14" s="368"/>
      <c r="G14" s="247"/>
      <c r="H14" s="247"/>
      <c r="I14" s="369">
        <v>199273.74</v>
      </c>
      <c r="J14" s="248"/>
      <c r="K14" s="247"/>
      <c r="L14" s="248"/>
      <c r="M14" s="368"/>
      <c r="N14" s="247"/>
    </row>
    <row r="15" spans="1:14" ht="15">
      <c r="A15" s="597" t="s">
        <v>212</v>
      </c>
      <c r="B15" s="597"/>
      <c r="C15" s="597"/>
      <c r="D15" s="246"/>
      <c r="E15" s="248"/>
      <c r="F15" s="368"/>
      <c r="G15" s="247"/>
      <c r="H15" s="247"/>
      <c r="I15" s="369">
        <v>60978.58</v>
      </c>
      <c r="J15" s="248"/>
      <c r="K15" s="247"/>
      <c r="L15" s="248"/>
      <c r="M15" s="368"/>
      <c r="N15" s="247"/>
    </row>
    <row r="16" spans="1:14" ht="15">
      <c r="A16" s="597" t="s">
        <v>213</v>
      </c>
      <c r="B16" s="597"/>
      <c r="C16" s="597"/>
      <c r="D16" s="246"/>
      <c r="E16" s="248"/>
      <c r="F16" s="368"/>
      <c r="G16" s="247"/>
      <c r="H16" s="247"/>
      <c r="I16" s="369">
        <v>18481.83</v>
      </c>
      <c r="J16" s="248"/>
      <c r="K16" s="247"/>
      <c r="L16" s="248"/>
      <c r="M16" s="368"/>
      <c r="N16" s="247"/>
    </row>
    <row r="17" spans="1:14" ht="15">
      <c r="A17" s="602" t="s">
        <v>214</v>
      </c>
      <c r="B17" s="602"/>
      <c r="C17" s="602"/>
      <c r="D17" s="374"/>
      <c r="E17" s="359"/>
      <c r="F17" s="360"/>
      <c r="G17" s="361"/>
      <c r="H17" s="358">
        <v>415163.76</v>
      </c>
      <c r="I17" s="358">
        <v>415163.76</v>
      </c>
      <c r="J17" s="359"/>
      <c r="K17" s="361"/>
      <c r="L17" s="359"/>
      <c r="M17" s="360"/>
      <c r="N17" s="361"/>
    </row>
    <row r="18" spans="1:14" ht="15">
      <c r="A18" s="597" t="s">
        <v>188</v>
      </c>
      <c r="B18" s="597"/>
      <c r="C18" s="597"/>
      <c r="D18" s="246"/>
      <c r="E18" s="248"/>
      <c r="F18" s="368"/>
      <c r="G18" s="247"/>
      <c r="H18" s="247"/>
      <c r="I18" s="369">
        <v>415163.76</v>
      </c>
      <c r="J18" s="248"/>
      <c r="K18" s="247"/>
      <c r="L18" s="248"/>
      <c r="M18" s="368"/>
      <c r="N18" s="247"/>
    </row>
    <row r="19" spans="1:14" ht="15">
      <c r="A19" s="597" t="s">
        <v>525</v>
      </c>
      <c r="B19" s="597"/>
      <c r="C19" s="597"/>
      <c r="D19" s="246"/>
      <c r="E19" s="248"/>
      <c r="F19" s="406">
        <v>71</v>
      </c>
      <c r="G19" s="247"/>
      <c r="H19" s="369">
        <v>7627.12</v>
      </c>
      <c r="I19" s="246"/>
      <c r="J19" s="248"/>
      <c r="K19" s="247"/>
      <c r="L19" s="248"/>
      <c r="M19" s="368"/>
      <c r="N19" s="247"/>
    </row>
    <row r="20" spans="1:14" ht="15">
      <c r="A20" s="597" t="s">
        <v>211</v>
      </c>
      <c r="B20" s="597"/>
      <c r="C20" s="597"/>
      <c r="D20" s="246"/>
      <c r="E20" s="248"/>
      <c r="F20" s="406">
        <v>74</v>
      </c>
      <c r="G20" s="247"/>
      <c r="H20" s="369">
        <v>4876.03</v>
      </c>
      <c r="I20" s="246"/>
      <c r="J20" s="248"/>
      <c r="K20" s="247"/>
      <c r="L20" s="248"/>
      <c r="M20" s="368"/>
      <c r="N20" s="247"/>
    </row>
    <row r="21" spans="1:14" ht="15">
      <c r="A21" s="597" t="s">
        <v>216</v>
      </c>
      <c r="B21" s="597"/>
      <c r="C21" s="597"/>
      <c r="D21" s="246"/>
      <c r="E21" s="248"/>
      <c r="F21" s="406">
        <v>52</v>
      </c>
      <c r="G21" s="247"/>
      <c r="H21" s="369">
        <v>5713.17</v>
      </c>
      <c r="I21" s="246"/>
      <c r="J21" s="248"/>
      <c r="K21" s="247"/>
      <c r="L21" s="248"/>
      <c r="M21" s="368"/>
      <c r="N21" s="247"/>
    </row>
    <row r="22" spans="1:14" ht="15">
      <c r="A22" s="597" t="s">
        <v>212</v>
      </c>
      <c r="B22" s="597"/>
      <c r="C22" s="597"/>
      <c r="D22" s="246"/>
      <c r="E22" s="248"/>
      <c r="F22" s="368"/>
      <c r="G22" s="247"/>
      <c r="H22" s="369">
        <v>266965.17</v>
      </c>
      <c r="I22" s="246"/>
      <c r="J22" s="248"/>
      <c r="K22" s="247"/>
      <c r="L22" s="248"/>
      <c r="M22" s="368"/>
      <c r="N22" s="247"/>
    </row>
    <row r="23" spans="1:14" ht="15">
      <c r="A23" s="597" t="s">
        <v>213</v>
      </c>
      <c r="B23" s="597"/>
      <c r="C23" s="597"/>
      <c r="D23" s="246"/>
      <c r="E23" s="248"/>
      <c r="F23" s="368"/>
      <c r="G23" s="247"/>
      <c r="H23" s="369">
        <v>80907.84</v>
      </c>
      <c r="I23" s="246"/>
      <c r="J23" s="248"/>
      <c r="K23" s="247"/>
      <c r="L23" s="248"/>
      <c r="M23" s="368"/>
      <c r="N23" s="247"/>
    </row>
    <row r="24" spans="1:14" ht="15">
      <c r="A24" s="597" t="s">
        <v>217</v>
      </c>
      <c r="B24" s="597"/>
      <c r="C24" s="597"/>
      <c r="D24" s="246"/>
      <c r="E24" s="248"/>
      <c r="F24" s="406">
        <v>71</v>
      </c>
      <c r="G24" s="247"/>
      <c r="H24" s="369">
        <v>1721.29</v>
      </c>
      <c r="I24" s="246"/>
      <c r="J24" s="248"/>
      <c r="K24" s="247"/>
      <c r="L24" s="248"/>
      <c r="M24" s="368"/>
      <c r="N24" s="247"/>
    </row>
    <row r="25" spans="1:14" ht="15">
      <c r="A25" s="597" t="s">
        <v>218</v>
      </c>
      <c r="B25" s="597"/>
      <c r="C25" s="597"/>
      <c r="D25" s="246"/>
      <c r="E25" s="248"/>
      <c r="F25" s="406">
        <v>44</v>
      </c>
      <c r="G25" s="247"/>
      <c r="H25" s="369">
        <v>4576.25</v>
      </c>
      <c r="I25" s="246"/>
      <c r="J25" s="248"/>
      <c r="K25" s="247"/>
      <c r="L25" s="248"/>
      <c r="M25" s="368"/>
      <c r="N25" s="247"/>
    </row>
    <row r="26" spans="1:14" ht="15">
      <c r="A26" s="597" t="s">
        <v>218</v>
      </c>
      <c r="B26" s="597"/>
      <c r="C26" s="597"/>
      <c r="D26" s="246"/>
      <c r="E26" s="248"/>
      <c r="F26" s="406">
        <v>44</v>
      </c>
      <c r="G26" s="247"/>
      <c r="H26" s="369">
        <v>41070.95</v>
      </c>
      <c r="I26" s="246"/>
      <c r="J26" s="248"/>
      <c r="K26" s="247"/>
      <c r="L26" s="248"/>
      <c r="M26" s="368"/>
      <c r="N26" s="247"/>
    </row>
    <row r="27" spans="1:14" ht="15">
      <c r="A27" s="597" t="s">
        <v>248</v>
      </c>
      <c r="B27" s="597"/>
      <c r="C27" s="597"/>
      <c r="D27" s="246"/>
      <c r="E27" s="248"/>
      <c r="F27" s="406">
        <v>52</v>
      </c>
      <c r="G27" s="247"/>
      <c r="H27" s="369">
        <v>1705.94</v>
      </c>
      <c r="I27" s="246"/>
      <c r="J27" s="248"/>
      <c r="K27" s="247"/>
      <c r="L27" s="248"/>
      <c r="M27" s="368"/>
      <c r="N27" s="247"/>
    </row>
    <row r="28" spans="1:14" ht="15">
      <c r="A28" s="602" t="s">
        <v>219</v>
      </c>
      <c r="B28" s="602"/>
      <c r="C28" s="602"/>
      <c r="D28" s="374"/>
      <c r="E28" s="359"/>
      <c r="F28" s="360"/>
      <c r="G28" s="361"/>
      <c r="H28" s="358">
        <v>11020163.62</v>
      </c>
      <c r="I28" s="358">
        <v>11020163.62</v>
      </c>
      <c r="J28" s="359"/>
      <c r="K28" s="361"/>
      <c r="L28" s="359"/>
      <c r="M28" s="360"/>
      <c r="N28" s="361"/>
    </row>
    <row r="29" spans="1:14" ht="15">
      <c r="A29" s="597" t="s">
        <v>188</v>
      </c>
      <c r="B29" s="597"/>
      <c r="C29" s="597"/>
      <c r="D29" s="246"/>
      <c r="E29" s="248"/>
      <c r="F29" s="368"/>
      <c r="G29" s="247"/>
      <c r="H29" s="369">
        <v>11020163.62</v>
      </c>
      <c r="I29" s="369">
        <v>11020163.62</v>
      </c>
      <c r="J29" s="248"/>
      <c r="K29" s="247"/>
      <c r="L29" s="248"/>
      <c r="M29" s="368"/>
      <c r="N29" s="247"/>
    </row>
    <row r="30" spans="1:14" ht="15">
      <c r="A30" s="577" t="s">
        <v>291</v>
      </c>
      <c r="B30" s="577"/>
      <c r="C30" s="577"/>
      <c r="D30" s="375"/>
      <c r="E30" s="371"/>
      <c r="F30" s="372"/>
      <c r="G30" s="373"/>
      <c r="H30" s="370">
        <v>22437306.53</v>
      </c>
      <c r="I30" s="370">
        <v>22437306.53</v>
      </c>
      <c r="J30" s="371"/>
      <c r="K30" s="373"/>
      <c r="L30" s="371"/>
      <c r="M30" s="372"/>
      <c r="N30" s="373"/>
    </row>
  </sheetData>
  <sheetProtection/>
  <mergeCells count="34">
    <mergeCell ref="A1:M1"/>
    <mergeCell ref="A2:M2"/>
    <mergeCell ref="B4:M4"/>
    <mergeCell ref="A6:C6"/>
    <mergeCell ref="D6:G6"/>
    <mergeCell ref="J6:N6"/>
    <mergeCell ref="L7:N8"/>
    <mergeCell ref="A9:C9"/>
    <mergeCell ref="A10:C10"/>
    <mergeCell ref="A11:C11"/>
    <mergeCell ref="A7:C8"/>
    <mergeCell ref="D7:D8"/>
    <mergeCell ref="E7:G8"/>
    <mergeCell ref="I7:I8"/>
    <mergeCell ref="J7:K8"/>
    <mergeCell ref="A12:C12"/>
    <mergeCell ref="A13:C13"/>
    <mergeCell ref="A14:C14"/>
    <mergeCell ref="A15:C15"/>
    <mergeCell ref="A16:C16"/>
    <mergeCell ref="A17:C17"/>
    <mergeCell ref="A21:C21"/>
    <mergeCell ref="A22:C22"/>
    <mergeCell ref="A23:C23"/>
    <mergeCell ref="A18:C18"/>
    <mergeCell ref="A19:C19"/>
    <mergeCell ref="A20:C20"/>
    <mergeCell ref="A30:C30"/>
    <mergeCell ref="A27:C27"/>
    <mergeCell ref="A28:C28"/>
    <mergeCell ref="A29:C29"/>
    <mergeCell ref="A24:C24"/>
    <mergeCell ref="A25:C25"/>
    <mergeCell ref="A26:C2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62"/>
  <sheetViews>
    <sheetView zoomScalePageLayoutView="0" workbookViewId="0" topLeftCell="A49">
      <selection activeCell="C19" sqref="C19"/>
    </sheetView>
  </sheetViews>
  <sheetFormatPr defaultColWidth="9.140625" defaultRowHeight="15"/>
  <cols>
    <col min="3" max="3" width="13.7109375" style="0" customWidth="1"/>
    <col min="5" max="5" width="13.28125" style="0" customWidth="1"/>
    <col min="6" max="6" width="14.140625" style="0" customWidth="1"/>
    <col min="7" max="7" width="14.7109375" style="0" customWidth="1"/>
  </cols>
  <sheetData>
    <row r="1" spans="1:9" ht="15.75">
      <c r="A1" s="615" t="s">
        <v>583</v>
      </c>
      <c r="B1" s="615"/>
      <c r="C1" s="615"/>
      <c r="D1" s="615"/>
      <c r="E1" s="615"/>
      <c r="F1" s="615"/>
      <c r="G1" s="615"/>
      <c r="H1" s="615"/>
      <c r="I1" s="450"/>
    </row>
    <row r="2" spans="1:9" ht="15">
      <c r="A2" s="616" t="s">
        <v>174</v>
      </c>
      <c r="B2" s="616"/>
      <c r="C2" s="596" t="s">
        <v>175</v>
      </c>
      <c r="D2" s="596"/>
      <c r="E2" s="596" t="s">
        <v>176</v>
      </c>
      <c r="F2" s="596"/>
      <c r="G2" s="596" t="s">
        <v>177</v>
      </c>
      <c r="H2" s="596"/>
      <c r="I2" s="596"/>
    </row>
    <row r="3" spans="1:9" ht="15">
      <c r="A3" s="616" t="s">
        <v>12</v>
      </c>
      <c r="B3" s="616"/>
      <c r="C3" s="584" t="s">
        <v>178</v>
      </c>
      <c r="D3" s="584" t="s">
        <v>179</v>
      </c>
      <c r="E3" s="584" t="s">
        <v>178</v>
      </c>
      <c r="F3" s="584" t="s">
        <v>179</v>
      </c>
      <c r="G3" s="584" t="s">
        <v>178</v>
      </c>
      <c r="H3" s="584" t="s">
        <v>179</v>
      </c>
      <c r="I3" s="584"/>
    </row>
    <row r="4" spans="1:9" ht="15">
      <c r="A4" s="616" t="s">
        <v>180</v>
      </c>
      <c r="B4" s="616"/>
      <c r="C4" s="585"/>
      <c r="D4" s="585"/>
      <c r="E4" s="585"/>
      <c r="F4" s="585"/>
      <c r="G4" s="585"/>
      <c r="H4" s="587"/>
      <c r="I4" s="589"/>
    </row>
    <row r="5" spans="1:9" ht="15">
      <c r="A5" s="616" t="s">
        <v>181</v>
      </c>
      <c r="B5" s="616"/>
      <c r="C5" s="586"/>
      <c r="D5" s="586"/>
      <c r="E5" s="586"/>
      <c r="F5" s="586"/>
      <c r="G5" s="586"/>
      <c r="H5" s="590"/>
      <c r="I5" s="592"/>
    </row>
    <row r="6" spans="1:9" ht="15">
      <c r="A6" s="617" t="s">
        <v>182</v>
      </c>
      <c r="B6" s="617"/>
      <c r="C6" s="358">
        <v>25506941.87</v>
      </c>
      <c r="D6" s="374"/>
      <c r="E6" s="358">
        <v>48152147.85</v>
      </c>
      <c r="F6" s="358">
        <v>63047310.11</v>
      </c>
      <c r="G6" s="358">
        <v>10611779.61</v>
      </c>
      <c r="H6" s="359"/>
      <c r="I6" s="361"/>
    </row>
    <row r="7" spans="1:9" ht="15">
      <c r="A7" s="613" t="s">
        <v>491</v>
      </c>
      <c r="B7" s="613"/>
      <c r="C7" s="242">
        <v>990573.29</v>
      </c>
      <c r="D7" s="243"/>
      <c r="E7" s="242">
        <v>1721778.35</v>
      </c>
      <c r="F7" s="243"/>
      <c r="G7" s="242">
        <v>2712351.64</v>
      </c>
      <c r="H7" s="244"/>
      <c r="I7" s="245"/>
    </row>
    <row r="8" spans="1:9" ht="15">
      <c r="A8" s="610" t="s">
        <v>492</v>
      </c>
      <c r="B8" s="610"/>
      <c r="C8" s="367">
        <v>990573.29</v>
      </c>
      <c r="D8" s="363"/>
      <c r="E8" s="367">
        <v>1721778.35</v>
      </c>
      <c r="F8" s="363"/>
      <c r="G8" s="367">
        <v>2712351.64</v>
      </c>
      <c r="H8" s="364"/>
      <c r="I8" s="366"/>
    </row>
    <row r="9" spans="1:9" ht="15">
      <c r="A9" s="608" t="s">
        <v>447</v>
      </c>
      <c r="B9" s="608"/>
      <c r="C9" s="526"/>
      <c r="D9" s="246"/>
      <c r="E9" s="369">
        <v>2499.96</v>
      </c>
      <c r="F9" s="246"/>
      <c r="G9" s="246"/>
      <c r="H9" s="248"/>
      <c r="I9" s="247"/>
    </row>
    <row r="10" spans="1:9" ht="15">
      <c r="A10" s="608" t="s">
        <v>192</v>
      </c>
      <c r="B10" s="608"/>
      <c r="C10" s="526"/>
      <c r="D10" s="246"/>
      <c r="E10" s="369">
        <v>976271.16</v>
      </c>
      <c r="F10" s="246"/>
      <c r="G10" s="246"/>
      <c r="H10" s="248"/>
      <c r="I10" s="247"/>
    </row>
    <row r="11" spans="1:9" ht="15">
      <c r="A11" s="608" t="s">
        <v>342</v>
      </c>
      <c r="B11" s="608"/>
      <c r="C11" s="246"/>
      <c r="D11" s="246"/>
      <c r="E11" s="395">
        <v>525</v>
      </c>
      <c r="F11" s="246"/>
      <c r="G11" s="246"/>
      <c r="H11" s="248"/>
      <c r="I11" s="247"/>
    </row>
    <row r="12" spans="1:9" ht="15">
      <c r="A12" s="608" t="s">
        <v>495</v>
      </c>
      <c r="B12" s="608"/>
      <c r="C12" s="246"/>
      <c r="D12" s="246"/>
      <c r="E12" s="395">
        <v>288.14</v>
      </c>
      <c r="F12" s="246"/>
      <c r="G12" s="246"/>
      <c r="H12" s="248"/>
      <c r="I12" s="247"/>
    </row>
    <row r="13" spans="1:9" ht="15">
      <c r="A13" s="608" t="s">
        <v>191</v>
      </c>
      <c r="B13" s="608"/>
      <c r="C13" s="246"/>
      <c r="D13" s="246"/>
      <c r="E13" s="369">
        <v>742194.09</v>
      </c>
      <c r="F13" s="246"/>
      <c r="G13" s="246"/>
      <c r="H13" s="248"/>
      <c r="I13" s="247"/>
    </row>
    <row r="14" spans="1:9" ht="15">
      <c r="A14" s="613" t="s">
        <v>183</v>
      </c>
      <c r="B14" s="613"/>
      <c r="C14" s="242">
        <v>24516126.5</v>
      </c>
      <c r="D14" s="243"/>
      <c r="E14" s="242">
        <v>13434173.73</v>
      </c>
      <c r="F14" s="242">
        <v>30050872.26</v>
      </c>
      <c r="G14" s="242">
        <v>7899427.97</v>
      </c>
      <c r="H14" s="244"/>
      <c r="I14" s="245"/>
    </row>
    <row r="15" spans="1:9" ht="15">
      <c r="A15" s="610" t="s">
        <v>238</v>
      </c>
      <c r="B15" s="610"/>
      <c r="C15" s="367">
        <v>21102694.91</v>
      </c>
      <c r="D15" s="363"/>
      <c r="E15" s="367">
        <v>5084745.76</v>
      </c>
      <c r="F15" s="367">
        <v>26187440.67</v>
      </c>
      <c r="G15" s="363"/>
      <c r="H15" s="364"/>
      <c r="I15" s="366"/>
    </row>
    <row r="16" spans="1:9" ht="15">
      <c r="A16" s="614" t="s">
        <v>186</v>
      </c>
      <c r="B16" s="614"/>
      <c r="C16" s="246"/>
      <c r="D16" s="246"/>
      <c r="E16" s="246"/>
      <c r="F16" s="369">
        <v>1000</v>
      </c>
      <c r="G16" s="246"/>
      <c r="H16" s="248"/>
      <c r="I16" s="247"/>
    </row>
    <row r="17" spans="1:9" ht="15">
      <c r="A17" s="614" t="s">
        <v>239</v>
      </c>
      <c r="B17" s="614"/>
      <c r="C17" s="246"/>
      <c r="D17" s="246"/>
      <c r="E17" s="369">
        <v>5084745.76</v>
      </c>
      <c r="F17" s="369">
        <v>26186440.67</v>
      </c>
      <c r="G17" s="246"/>
      <c r="H17" s="248"/>
      <c r="I17" s="247"/>
    </row>
    <row r="18" spans="1:9" ht="15">
      <c r="A18" s="610" t="s">
        <v>184</v>
      </c>
      <c r="B18" s="610"/>
      <c r="C18" s="367">
        <v>3413431.59</v>
      </c>
      <c r="D18" s="363"/>
      <c r="E18" s="367">
        <v>8349427.97</v>
      </c>
      <c r="F18" s="367">
        <v>3863431.59</v>
      </c>
      <c r="G18" s="367">
        <v>7899427.97</v>
      </c>
      <c r="H18" s="364"/>
      <c r="I18" s="366"/>
    </row>
    <row r="19" spans="1:9" ht="15">
      <c r="A19" s="614" t="s">
        <v>185</v>
      </c>
      <c r="B19" s="614"/>
      <c r="C19" s="246"/>
      <c r="D19" s="246"/>
      <c r="E19" s="369">
        <v>600000</v>
      </c>
      <c r="F19" s="369">
        <v>2561667</v>
      </c>
      <c r="G19" s="246"/>
      <c r="H19" s="248"/>
      <c r="I19" s="247"/>
    </row>
    <row r="20" spans="1:9" ht="15">
      <c r="A20" s="614" t="s">
        <v>186</v>
      </c>
      <c r="B20" s="614"/>
      <c r="C20" s="246"/>
      <c r="D20" s="246"/>
      <c r="E20" s="246"/>
      <c r="F20" s="369">
        <v>8500</v>
      </c>
      <c r="G20" s="246"/>
      <c r="H20" s="248"/>
      <c r="I20" s="247"/>
    </row>
    <row r="21" spans="1:9" ht="15">
      <c r="A21" s="614" t="s">
        <v>240</v>
      </c>
      <c r="B21" s="614"/>
      <c r="C21" s="246"/>
      <c r="D21" s="246"/>
      <c r="E21" s="246"/>
      <c r="F21" s="369">
        <v>2673.45</v>
      </c>
      <c r="G21" s="246"/>
      <c r="H21" s="248"/>
      <c r="I21" s="247"/>
    </row>
    <row r="22" spans="1:9" ht="15">
      <c r="A22" s="614" t="s">
        <v>493</v>
      </c>
      <c r="B22" s="614"/>
      <c r="C22" s="246"/>
      <c r="D22" s="246"/>
      <c r="E22" s="246"/>
      <c r="F22" s="369">
        <v>1235992.2</v>
      </c>
      <c r="G22" s="246"/>
      <c r="H22" s="248"/>
      <c r="I22" s="247"/>
    </row>
    <row r="23" spans="1:9" ht="15">
      <c r="A23" s="614" t="s">
        <v>584</v>
      </c>
      <c r="B23" s="614"/>
      <c r="C23" s="246"/>
      <c r="D23" s="246"/>
      <c r="E23" s="246"/>
      <c r="F23" s="369">
        <v>43957.63</v>
      </c>
      <c r="G23" s="246"/>
      <c r="H23" s="248"/>
      <c r="I23" s="247"/>
    </row>
    <row r="24" spans="1:9" ht="15">
      <c r="A24" s="614" t="s">
        <v>585</v>
      </c>
      <c r="B24" s="614"/>
      <c r="C24" s="246"/>
      <c r="D24" s="246"/>
      <c r="E24" s="369">
        <v>7749427.97</v>
      </c>
      <c r="F24" s="246"/>
      <c r="G24" s="246"/>
      <c r="H24" s="248"/>
      <c r="I24" s="247"/>
    </row>
    <row r="25" spans="1:9" ht="15">
      <c r="A25" s="614" t="s">
        <v>241</v>
      </c>
      <c r="B25" s="614"/>
      <c r="C25" s="246"/>
      <c r="D25" s="246"/>
      <c r="E25" s="246"/>
      <c r="F25" s="369">
        <v>10641.31</v>
      </c>
      <c r="G25" s="246"/>
      <c r="H25" s="248"/>
      <c r="I25" s="247"/>
    </row>
    <row r="26" spans="1:9" ht="15">
      <c r="A26" s="613" t="s">
        <v>494</v>
      </c>
      <c r="B26" s="613"/>
      <c r="C26" s="243"/>
      <c r="D26" s="243"/>
      <c r="E26" s="242">
        <v>31916812.12</v>
      </c>
      <c r="F26" s="242">
        <v>31916812.12</v>
      </c>
      <c r="G26" s="243"/>
      <c r="H26" s="244"/>
      <c r="I26" s="245"/>
    </row>
    <row r="27" spans="1:9" ht="15">
      <c r="A27" s="610" t="s">
        <v>187</v>
      </c>
      <c r="B27" s="610"/>
      <c r="C27" s="363"/>
      <c r="D27" s="363"/>
      <c r="E27" s="367">
        <v>31916812.12</v>
      </c>
      <c r="F27" s="367">
        <v>31916812.12</v>
      </c>
      <c r="G27" s="363"/>
      <c r="H27" s="364"/>
      <c r="I27" s="366"/>
    </row>
    <row r="28" spans="1:9" ht="15">
      <c r="A28" s="608" t="s">
        <v>188</v>
      </c>
      <c r="B28" s="608"/>
      <c r="C28" s="246"/>
      <c r="D28" s="246"/>
      <c r="E28" s="369">
        <v>470188.49</v>
      </c>
      <c r="F28" s="369">
        <v>31916812.12</v>
      </c>
      <c r="G28" s="246"/>
      <c r="H28" s="248"/>
      <c r="I28" s="247"/>
    </row>
    <row r="29" spans="1:9" ht="15">
      <c r="A29" s="608" t="s">
        <v>447</v>
      </c>
      <c r="B29" s="608"/>
      <c r="C29" s="526"/>
      <c r="D29" s="246"/>
      <c r="E29" s="369">
        <v>17039195.68</v>
      </c>
      <c r="F29" s="246"/>
      <c r="G29" s="246"/>
      <c r="H29" s="248"/>
      <c r="I29" s="247"/>
    </row>
    <row r="30" spans="1:9" ht="15">
      <c r="A30" s="608" t="s">
        <v>185</v>
      </c>
      <c r="B30" s="608"/>
      <c r="C30" s="526"/>
      <c r="D30" s="246"/>
      <c r="E30" s="369">
        <v>497507.04</v>
      </c>
      <c r="F30" s="246"/>
      <c r="G30" s="246"/>
      <c r="H30" s="248"/>
      <c r="I30" s="247"/>
    </row>
    <row r="31" spans="1:9" ht="15">
      <c r="A31" s="608" t="s">
        <v>244</v>
      </c>
      <c r="B31" s="608"/>
      <c r="C31" s="526"/>
      <c r="D31" s="246"/>
      <c r="E31" s="369">
        <v>23831.76</v>
      </c>
      <c r="F31" s="246"/>
      <c r="G31" s="246"/>
      <c r="H31" s="248"/>
      <c r="I31" s="247"/>
    </row>
    <row r="32" spans="1:9" ht="15">
      <c r="A32" s="608" t="s">
        <v>342</v>
      </c>
      <c r="B32" s="608"/>
      <c r="C32" s="526"/>
      <c r="D32" s="246"/>
      <c r="E32" s="369">
        <v>1773476</v>
      </c>
      <c r="F32" s="246"/>
      <c r="G32" s="246"/>
      <c r="H32" s="248"/>
      <c r="I32" s="247"/>
    </row>
    <row r="33" spans="1:9" ht="15">
      <c r="A33" s="608" t="s">
        <v>189</v>
      </c>
      <c r="B33" s="608"/>
      <c r="C33" s="526"/>
      <c r="D33" s="246"/>
      <c r="E33" s="369">
        <v>244847.51</v>
      </c>
      <c r="F33" s="246"/>
      <c r="G33" s="246"/>
      <c r="H33" s="248"/>
      <c r="I33" s="247"/>
    </row>
    <row r="34" spans="1:9" ht="15">
      <c r="A34" s="608" t="s">
        <v>586</v>
      </c>
      <c r="B34" s="608"/>
      <c r="C34" s="526"/>
      <c r="D34" s="246"/>
      <c r="E34" s="369">
        <v>111101.7</v>
      </c>
      <c r="F34" s="246"/>
      <c r="G34" s="246"/>
      <c r="H34" s="248"/>
      <c r="I34" s="247"/>
    </row>
    <row r="35" spans="1:9" ht="15">
      <c r="A35" s="608" t="s">
        <v>190</v>
      </c>
      <c r="B35" s="608"/>
      <c r="C35" s="526"/>
      <c r="D35" s="246"/>
      <c r="E35" s="369">
        <v>1437924.09</v>
      </c>
      <c r="F35" s="246"/>
      <c r="G35" s="246"/>
      <c r="H35" s="248"/>
      <c r="I35" s="247"/>
    </row>
    <row r="36" spans="1:9" ht="15">
      <c r="A36" s="608" t="s">
        <v>587</v>
      </c>
      <c r="B36" s="608"/>
      <c r="C36" s="526"/>
      <c r="D36" s="246"/>
      <c r="E36" s="369">
        <v>4800</v>
      </c>
      <c r="F36" s="246"/>
      <c r="G36" s="246"/>
      <c r="H36" s="248"/>
      <c r="I36" s="247"/>
    </row>
    <row r="37" spans="1:9" ht="15">
      <c r="A37" s="608" t="s">
        <v>495</v>
      </c>
      <c r="B37" s="608"/>
      <c r="C37" s="526"/>
      <c r="D37" s="246"/>
      <c r="E37" s="369">
        <v>40990.19</v>
      </c>
      <c r="F37" s="246"/>
      <c r="G37" s="246"/>
      <c r="H37" s="248"/>
      <c r="I37" s="247"/>
    </row>
    <row r="38" spans="1:9" ht="15">
      <c r="A38" s="608" t="s">
        <v>588</v>
      </c>
      <c r="B38" s="608"/>
      <c r="C38" s="526"/>
      <c r="D38" s="246"/>
      <c r="E38" s="369">
        <v>68324</v>
      </c>
      <c r="F38" s="246"/>
      <c r="G38" s="246"/>
      <c r="H38" s="248"/>
      <c r="I38" s="247"/>
    </row>
    <row r="39" spans="1:9" ht="15">
      <c r="A39" s="608" t="s">
        <v>589</v>
      </c>
      <c r="B39" s="608"/>
      <c r="C39" s="526"/>
      <c r="D39" s="246"/>
      <c r="E39" s="369">
        <v>82980.23</v>
      </c>
      <c r="F39" s="246"/>
      <c r="G39" s="246"/>
      <c r="H39" s="248"/>
      <c r="I39" s="247"/>
    </row>
    <row r="40" spans="1:9" ht="15">
      <c r="A40" s="608" t="s">
        <v>191</v>
      </c>
      <c r="B40" s="608"/>
      <c r="C40" s="526"/>
      <c r="D40" s="246"/>
      <c r="E40" s="369">
        <v>5822864</v>
      </c>
      <c r="F40" s="246"/>
      <c r="G40" s="246"/>
      <c r="H40" s="248"/>
      <c r="I40" s="247"/>
    </row>
    <row r="41" spans="1:9" ht="15">
      <c r="A41" s="608" t="s">
        <v>590</v>
      </c>
      <c r="B41" s="608"/>
      <c r="C41" s="526"/>
      <c r="D41" s="246"/>
      <c r="E41" s="369">
        <v>587322.96</v>
      </c>
      <c r="F41" s="246"/>
      <c r="G41" s="246"/>
      <c r="H41" s="248"/>
      <c r="I41" s="247"/>
    </row>
    <row r="42" spans="1:9" ht="15">
      <c r="A42" s="608" t="s">
        <v>591</v>
      </c>
      <c r="B42" s="608"/>
      <c r="C42" s="526"/>
      <c r="D42" s="246"/>
      <c r="E42" s="369">
        <v>612611.01</v>
      </c>
      <c r="F42" s="246"/>
      <c r="G42" s="246"/>
      <c r="H42" s="248"/>
      <c r="I42" s="247"/>
    </row>
    <row r="43" spans="1:9" ht="15">
      <c r="A43" s="608" t="s">
        <v>496</v>
      </c>
      <c r="B43" s="608"/>
      <c r="C43" s="526"/>
      <c r="D43" s="246"/>
      <c r="E43" s="369">
        <v>48000</v>
      </c>
      <c r="F43" s="246"/>
      <c r="G43" s="246"/>
      <c r="H43" s="248"/>
      <c r="I43" s="247"/>
    </row>
    <row r="44" spans="1:9" ht="15">
      <c r="A44" s="608" t="s">
        <v>592</v>
      </c>
      <c r="B44" s="608"/>
      <c r="C44" s="526"/>
      <c r="D44" s="246"/>
      <c r="E44" s="369">
        <v>3050847.46</v>
      </c>
      <c r="F44" s="246"/>
      <c r="G44" s="246"/>
      <c r="H44" s="248"/>
      <c r="I44" s="247"/>
    </row>
    <row r="45" spans="1:9" ht="15">
      <c r="A45" s="613" t="s">
        <v>242</v>
      </c>
      <c r="B45" s="613"/>
      <c r="C45" s="243"/>
      <c r="D45" s="243"/>
      <c r="E45" s="242">
        <v>773642.3</v>
      </c>
      <c r="F45" s="242">
        <v>773642.3</v>
      </c>
      <c r="G45" s="243"/>
      <c r="H45" s="244"/>
      <c r="I45" s="245"/>
    </row>
    <row r="46" spans="1:9" ht="15">
      <c r="A46" s="610" t="s">
        <v>187</v>
      </c>
      <c r="B46" s="610"/>
      <c r="C46" s="363"/>
      <c r="D46" s="363"/>
      <c r="E46" s="367">
        <v>270000</v>
      </c>
      <c r="F46" s="367">
        <v>270000</v>
      </c>
      <c r="G46" s="363"/>
      <c r="H46" s="364"/>
      <c r="I46" s="366"/>
    </row>
    <row r="47" spans="1:9" ht="15">
      <c r="A47" s="611" t="s">
        <v>188</v>
      </c>
      <c r="B47" s="612"/>
      <c r="C47" s="246"/>
      <c r="D47" s="246"/>
      <c r="E47" s="246"/>
      <c r="F47" s="369">
        <v>270000</v>
      </c>
      <c r="G47" s="246"/>
      <c r="H47" s="248"/>
      <c r="I47" s="247"/>
    </row>
    <row r="48" spans="1:9" ht="15">
      <c r="A48" s="608" t="s">
        <v>192</v>
      </c>
      <c r="B48" s="608"/>
      <c r="C48" s="526"/>
      <c r="D48" s="246"/>
      <c r="E48" s="369">
        <v>270000</v>
      </c>
      <c r="F48" s="246"/>
      <c r="G48" s="246"/>
      <c r="H48" s="248"/>
      <c r="I48" s="247"/>
    </row>
    <row r="49" spans="1:9" ht="15">
      <c r="A49" s="610" t="s">
        <v>243</v>
      </c>
      <c r="B49" s="610"/>
      <c r="C49" s="363"/>
      <c r="D49" s="363"/>
      <c r="E49" s="367">
        <v>503642.3</v>
      </c>
      <c r="F49" s="367">
        <v>503642.3</v>
      </c>
      <c r="G49" s="363"/>
      <c r="H49" s="364"/>
      <c r="I49" s="366"/>
    </row>
    <row r="50" spans="1:9" ht="15">
      <c r="A50" s="611" t="s">
        <v>188</v>
      </c>
      <c r="B50" s="612"/>
      <c r="C50" s="246"/>
      <c r="D50" s="246"/>
      <c r="E50" s="246"/>
      <c r="F50" s="369">
        <v>503642.3</v>
      </c>
      <c r="G50" s="246"/>
      <c r="H50" s="248"/>
      <c r="I50" s="247"/>
    </row>
    <row r="51" spans="1:9" ht="15">
      <c r="A51" s="608" t="s">
        <v>192</v>
      </c>
      <c r="B51" s="608"/>
      <c r="C51" s="526"/>
      <c r="D51" s="246"/>
      <c r="E51" s="369">
        <v>90000</v>
      </c>
      <c r="F51" s="246"/>
      <c r="G51" s="246"/>
      <c r="H51" s="248"/>
      <c r="I51" s="247"/>
    </row>
    <row r="52" spans="1:9" ht="15">
      <c r="A52" s="608" t="s">
        <v>593</v>
      </c>
      <c r="B52" s="608"/>
      <c r="C52" s="246"/>
      <c r="D52" s="246"/>
      <c r="E52" s="369">
        <v>413642.3</v>
      </c>
      <c r="F52" s="246"/>
      <c r="G52" s="246"/>
      <c r="H52" s="248"/>
      <c r="I52" s="247"/>
    </row>
    <row r="53" spans="1:9" ht="15">
      <c r="A53" s="613" t="s">
        <v>497</v>
      </c>
      <c r="B53" s="613"/>
      <c r="C53" s="396">
        <v>242.08</v>
      </c>
      <c r="D53" s="243"/>
      <c r="E53" s="242">
        <v>305741.35</v>
      </c>
      <c r="F53" s="242">
        <v>305983.43</v>
      </c>
      <c r="G53" s="243"/>
      <c r="H53" s="244"/>
      <c r="I53" s="245"/>
    </row>
    <row r="54" spans="1:9" ht="15">
      <c r="A54" s="610" t="s">
        <v>498</v>
      </c>
      <c r="B54" s="610"/>
      <c r="C54" s="397">
        <v>242.08</v>
      </c>
      <c r="D54" s="363"/>
      <c r="E54" s="367">
        <v>249195.16</v>
      </c>
      <c r="F54" s="367">
        <v>249437.24</v>
      </c>
      <c r="G54" s="363"/>
      <c r="H54" s="364"/>
      <c r="I54" s="366"/>
    </row>
    <row r="55" spans="1:9" ht="15">
      <c r="A55" s="611" t="s">
        <v>188</v>
      </c>
      <c r="B55" s="612"/>
      <c r="C55" s="246"/>
      <c r="D55" s="246"/>
      <c r="E55" s="246"/>
      <c r="F55" s="369">
        <v>249437.24</v>
      </c>
      <c r="G55" s="246"/>
      <c r="H55" s="248"/>
      <c r="I55" s="247"/>
    </row>
    <row r="56" spans="1:9" ht="15">
      <c r="A56" s="608" t="s">
        <v>185</v>
      </c>
      <c r="B56" s="608"/>
      <c r="C56" s="526"/>
      <c r="D56" s="246"/>
      <c r="E56" s="395">
        <v>357.16</v>
      </c>
      <c r="F56" s="246"/>
      <c r="G56" s="246"/>
      <c r="H56" s="248"/>
      <c r="I56" s="247"/>
    </row>
    <row r="57" spans="1:9" ht="15">
      <c r="A57" s="609" t="s">
        <v>594</v>
      </c>
      <c r="B57" s="609"/>
      <c r="C57" s="246"/>
      <c r="D57" s="246"/>
      <c r="E57" s="369">
        <v>248838</v>
      </c>
      <c r="F57" s="246"/>
      <c r="G57" s="246"/>
      <c r="H57" s="248"/>
      <c r="I57" s="247"/>
    </row>
    <row r="58" spans="1:9" ht="15">
      <c r="A58" s="610" t="s">
        <v>595</v>
      </c>
      <c r="B58" s="610"/>
      <c r="C58" s="363"/>
      <c r="D58" s="363"/>
      <c r="E58" s="367">
        <v>56546.19</v>
      </c>
      <c r="F58" s="367">
        <v>56546.19</v>
      </c>
      <c r="G58" s="363"/>
      <c r="H58" s="364"/>
      <c r="I58" s="366"/>
    </row>
    <row r="59" spans="1:9" ht="15">
      <c r="A59" s="611" t="s">
        <v>188</v>
      </c>
      <c r="B59" s="612"/>
      <c r="C59" s="246"/>
      <c r="D59" s="246"/>
      <c r="E59" s="246"/>
      <c r="F59" s="369">
        <v>56546.19</v>
      </c>
      <c r="G59" s="246"/>
      <c r="H59" s="248"/>
      <c r="I59" s="247"/>
    </row>
    <row r="60" spans="1:9" ht="15">
      <c r="A60" s="608" t="s">
        <v>447</v>
      </c>
      <c r="B60" s="608"/>
      <c r="C60" s="526"/>
      <c r="D60" s="246"/>
      <c r="E60" s="369">
        <v>55754.25</v>
      </c>
      <c r="F60" s="246"/>
      <c r="G60" s="246"/>
      <c r="H60" s="248"/>
      <c r="I60" s="247"/>
    </row>
    <row r="61" spans="1:9" ht="15">
      <c r="A61" s="608" t="s">
        <v>185</v>
      </c>
      <c r="B61" s="608"/>
      <c r="C61" s="526"/>
      <c r="D61" s="246"/>
      <c r="E61" s="395">
        <v>791.94</v>
      </c>
      <c r="F61" s="246"/>
      <c r="G61" s="246"/>
      <c r="H61" s="248"/>
      <c r="I61" s="247"/>
    </row>
    <row r="62" spans="1:9" ht="14.25">
      <c r="A62" s="607" t="s">
        <v>291</v>
      </c>
      <c r="B62" s="607"/>
      <c r="C62" s="370">
        <v>25506941.87</v>
      </c>
      <c r="D62" s="375"/>
      <c r="E62" s="370">
        <v>48152147.85</v>
      </c>
      <c r="F62" s="370">
        <v>63047310.11</v>
      </c>
      <c r="G62" s="370">
        <v>10611779.61</v>
      </c>
      <c r="H62" s="371"/>
      <c r="I62" s="373"/>
    </row>
  </sheetData>
  <sheetProtection/>
  <mergeCells count="71">
    <mergeCell ref="C3:C5"/>
    <mergeCell ref="A50:B50"/>
    <mergeCell ref="F3:F5"/>
    <mergeCell ref="G3:G5"/>
    <mergeCell ref="A9:B9"/>
    <mergeCell ref="A10:B10"/>
    <mergeCell ref="A11:B11"/>
    <mergeCell ref="A12:B12"/>
    <mergeCell ref="A5:B5"/>
    <mergeCell ref="A6:B6"/>
    <mergeCell ref="A1:H1"/>
    <mergeCell ref="A2:B2"/>
    <mergeCell ref="C2:D2"/>
    <mergeCell ref="E2:F2"/>
    <mergeCell ref="G2:I2"/>
    <mergeCell ref="D3:D5"/>
    <mergeCell ref="E3:E5"/>
    <mergeCell ref="H3:I5"/>
    <mergeCell ref="A4:B4"/>
    <mergeCell ref="A3:B3"/>
    <mergeCell ref="A7:B7"/>
    <mergeCell ref="A8:B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4:B44"/>
    <mergeCell ref="A33:B33"/>
    <mergeCell ref="A34:B34"/>
    <mergeCell ref="A35:B35"/>
    <mergeCell ref="A36:B36"/>
    <mergeCell ref="A37:B37"/>
    <mergeCell ref="A38:B38"/>
    <mergeCell ref="A45:B45"/>
    <mergeCell ref="A46:B46"/>
    <mergeCell ref="A47:B47"/>
    <mergeCell ref="A48:B48"/>
    <mergeCell ref="A49:B49"/>
    <mergeCell ref="A39:B39"/>
    <mergeCell ref="A40:B40"/>
    <mergeCell ref="A41:B41"/>
    <mergeCell ref="A42:B42"/>
    <mergeCell ref="A43:B43"/>
    <mergeCell ref="A51:B51"/>
    <mergeCell ref="A52:B52"/>
    <mergeCell ref="A53:B53"/>
    <mergeCell ref="A54:B54"/>
    <mergeCell ref="A55:B55"/>
    <mergeCell ref="A62:B62"/>
    <mergeCell ref="A56:B56"/>
    <mergeCell ref="A57:B57"/>
    <mergeCell ref="A58:B58"/>
    <mergeCell ref="A59:B59"/>
    <mergeCell ref="A60:B60"/>
    <mergeCell ref="A61:B6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33"/>
  <sheetViews>
    <sheetView zoomScalePageLayoutView="0" workbookViewId="0" topLeftCell="A4">
      <selection activeCell="A20" sqref="A20:B20"/>
    </sheetView>
  </sheetViews>
  <sheetFormatPr defaultColWidth="9.140625" defaultRowHeight="15"/>
  <cols>
    <col min="5" max="5" width="12.7109375" style="0" customWidth="1"/>
    <col min="6" max="6" width="12.421875" style="0" customWidth="1"/>
  </cols>
  <sheetData>
    <row r="1" spans="1:9" ht="15.75">
      <c r="A1" s="615" t="s">
        <v>596</v>
      </c>
      <c r="B1" s="615"/>
      <c r="C1" s="615"/>
      <c r="D1" s="615"/>
      <c r="E1" s="615"/>
      <c r="F1" s="615"/>
      <c r="G1" s="615"/>
      <c r="H1" s="615"/>
      <c r="I1" s="450"/>
    </row>
    <row r="2" spans="1:9" ht="15">
      <c r="A2" s="616" t="s">
        <v>174</v>
      </c>
      <c r="B2" s="616"/>
      <c r="C2" s="596" t="s">
        <v>175</v>
      </c>
      <c r="D2" s="596"/>
      <c r="E2" s="596" t="s">
        <v>176</v>
      </c>
      <c r="F2" s="596"/>
      <c r="G2" s="596" t="s">
        <v>177</v>
      </c>
      <c r="H2" s="596"/>
      <c r="I2" s="596"/>
    </row>
    <row r="3" spans="1:9" ht="15">
      <c r="A3" s="616" t="s">
        <v>12</v>
      </c>
      <c r="B3" s="616"/>
      <c r="C3" s="584" t="s">
        <v>178</v>
      </c>
      <c r="D3" s="584" t="s">
        <v>179</v>
      </c>
      <c r="E3" s="584" t="s">
        <v>178</v>
      </c>
      <c r="F3" s="584" t="s">
        <v>179</v>
      </c>
      <c r="G3" s="584" t="s">
        <v>178</v>
      </c>
      <c r="H3" s="584" t="s">
        <v>179</v>
      </c>
      <c r="I3" s="584"/>
    </row>
    <row r="4" spans="1:9" ht="15">
      <c r="A4" s="616" t="s">
        <v>181</v>
      </c>
      <c r="B4" s="616"/>
      <c r="C4" s="586"/>
      <c r="D4" s="586"/>
      <c r="E4" s="586"/>
      <c r="F4" s="586"/>
      <c r="G4" s="586"/>
      <c r="H4" s="590"/>
      <c r="I4" s="592"/>
    </row>
    <row r="5" spans="1:9" ht="15">
      <c r="A5" s="617" t="s">
        <v>499</v>
      </c>
      <c r="B5" s="617"/>
      <c r="C5" s="522">
        <v>-0.01</v>
      </c>
      <c r="D5" s="374"/>
      <c r="E5" s="358">
        <v>11333508.22</v>
      </c>
      <c r="F5" s="358">
        <v>11333508.21</v>
      </c>
      <c r="G5" s="374"/>
      <c r="H5" s="359"/>
      <c r="I5" s="361"/>
    </row>
    <row r="6" spans="1:9" ht="15">
      <c r="A6" s="613" t="s">
        <v>245</v>
      </c>
      <c r="B6" s="613"/>
      <c r="C6" s="523">
        <v>-0.01</v>
      </c>
      <c r="D6" s="243"/>
      <c r="E6" s="242">
        <v>11333508.22</v>
      </c>
      <c r="F6" s="242">
        <v>11333508.21</v>
      </c>
      <c r="G6" s="243"/>
      <c r="H6" s="244"/>
      <c r="I6" s="245"/>
    </row>
    <row r="7" spans="1:9" ht="15">
      <c r="A7" s="619" t="s">
        <v>188</v>
      </c>
      <c r="B7" s="619"/>
      <c r="C7" s="246"/>
      <c r="D7" s="246"/>
      <c r="E7" s="246"/>
      <c r="F7" s="369">
        <v>11333508.21</v>
      </c>
      <c r="G7" s="246"/>
      <c r="H7" s="248"/>
      <c r="I7" s="247"/>
    </row>
    <row r="8" spans="1:9" ht="15">
      <c r="A8" s="618" t="s">
        <v>447</v>
      </c>
      <c r="B8" s="618"/>
      <c r="C8" s="526"/>
      <c r="D8" s="246"/>
      <c r="E8" s="369">
        <v>1041069.66</v>
      </c>
      <c r="F8" s="246"/>
      <c r="G8" s="246"/>
      <c r="H8" s="248"/>
      <c r="I8" s="247"/>
    </row>
    <row r="9" spans="1:9" ht="15">
      <c r="A9" s="618" t="s">
        <v>192</v>
      </c>
      <c r="B9" s="618"/>
      <c r="C9" s="246"/>
      <c r="D9" s="246"/>
      <c r="E9" s="369">
        <v>1466265.27</v>
      </c>
      <c r="F9" s="246"/>
      <c r="G9" s="246"/>
      <c r="H9" s="248"/>
      <c r="I9" s="247"/>
    </row>
    <row r="10" spans="1:9" ht="15">
      <c r="A10" s="618" t="s">
        <v>597</v>
      </c>
      <c r="B10" s="618"/>
      <c r="C10" s="246"/>
      <c r="D10" s="246"/>
      <c r="E10" s="395">
        <v>932.2</v>
      </c>
      <c r="F10" s="246"/>
      <c r="G10" s="246"/>
      <c r="H10" s="248"/>
      <c r="I10" s="247"/>
    </row>
    <row r="11" spans="1:9" ht="15">
      <c r="A11" s="618" t="s">
        <v>193</v>
      </c>
      <c r="B11" s="618"/>
      <c r="C11" s="246"/>
      <c r="D11" s="246"/>
      <c r="E11" s="369">
        <v>21366.59</v>
      </c>
      <c r="F11" s="246"/>
      <c r="G11" s="246"/>
      <c r="H11" s="248"/>
      <c r="I11" s="247"/>
    </row>
    <row r="12" spans="1:9" ht="15">
      <c r="A12" s="618" t="s">
        <v>598</v>
      </c>
      <c r="B12" s="618"/>
      <c r="C12" s="246"/>
      <c r="D12" s="246"/>
      <c r="E12" s="369">
        <v>32034.58</v>
      </c>
      <c r="F12" s="246"/>
      <c r="G12" s="246"/>
      <c r="H12" s="248"/>
      <c r="I12" s="247"/>
    </row>
    <row r="13" spans="1:9" ht="15">
      <c r="A13" s="618" t="s">
        <v>194</v>
      </c>
      <c r="B13" s="618"/>
      <c r="C13" s="526"/>
      <c r="D13" s="246"/>
      <c r="E13" s="395">
        <v>400</v>
      </c>
      <c r="F13" s="246"/>
      <c r="G13" s="246"/>
      <c r="H13" s="248"/>
      <c r="I13" s="247"/>
    </row>
    <row r="14" spans="1:9" ht="15">
      <c r="A14" s="618" t="s">
        <v>599</v>
      </c>
      <c r="B14" s="618"/>
      <c r="C14" s="526"/>
      <c r="D14" s="246"/>
      <c r="E14" s="369">
        <v>2000</v>
      </c>
      <c r="F14" s="246"/>
      <c r="G14" s="246"/>
      <c r="H14" s="248"/>
      <c r="I14" s="247"/>
    </row>
    <row r="15" spans="1:9" ht="15">
      <c r="A15" s="618" t="s">
        <v>500</v>
      </c>
      <c r="B15" s="618"/>
      <c r="C15" s="526"/>
      <c r="D15" s="246"/>
      <c r="E15" s="369">
        <v>56925</v>
      </c>
      <c r="F15" s="246"/>
      <c r="G15" s="246"/>
      <c r="H15" s="248"/>
      <c r="I15" s="247"/>
    </row>
    <row r="16" spans="1:9" ht="15">
      <c r="A16" s="618" t="s">
        <v>195</v>
      </c>
      <c r="B16" s="618"/>
      <c r="C16" s="526"/>
      <c r="D16" s="246"/>
      <c r="E16" s="369">
        <v>549329.17</v>
      </c>
      <c r="F16" s="246"/>
      <c r="G16" s="246"/>
      <c r="H16" s="248"/>
      <c r="I16" s="247"/>
    </row>
    <row r="17" spans="1:9" ht="15">
      <c r="A17" s="618" t="s">
        <v>196</v>
      </c>
      <c r="B17" s="618"/>
      <c r="C17" s="526"/>
      <c r="D17" s="246"/>
      <c r="E17" s="369">
        <v>10927.01</v>
      </c>
      <c r="F17" s="246"/>
      <c r="G17" s="246"/>
      <c r="H17" s="248"/>
      <c r="I17" s="247"/>
    </row>
    <row r="18" spans="1:9" ht="15">
      <c r="A18" s="618" t="s">
        <v>342</v>
      </c>
      <c r="B18" s="618"/>
      <c r="C18" s="526"/>
      <c r="D18" s="246"/>
      <c r="E18" s="395">
        <v>539</v>
      </c>
      <c r="F18" s="246"/>
      <c r="G18" s="246"/>
      <c r="H18" s="248"/>
      <c r="I18" s="247"/>
    </row>
    <row r="19" spans="1:9" ht="15">
      <c r="A19" s="618" t="s">
        <v>246</v>
      </c>
      <c r="B19" s="618"/>
      <c r="C19" s="526"/>
      <c r="D19" s="246"/>
      <c r="E19" s="369">
        <v>168000</v>
      </c>
      <c r="F19" s="246"/>
      <c r="G19" s="246"/>
      <c r="H19" s="248"/>
      <c r="I19" s="247"/>
    </row>
    <row r="20" spans="1:9" ht="15">
      <c r="A20" s="618" t="s">
        <v>197</v>
      </c>
      <c r="B20" s="618"/>
      <c r="C20" s="526"/>
      <c r="D20" s="246"/>
      <c r="E20" s="369">
        <v>61017</v>
      </c>
      <c r="F20" s="246"/>
      <c r="G20" s="246"/>
      <c r="H20" s="248"/>
      <c r="I20" s="247"/>
    </row>
    <row r="21" spans="1:9" ht="15">
      <c r="A21" s="618" t="s">
        <v>198</v>
      </c>
      <c r="B21" s="618"/>
      <c r="C21" s="526"/>
      <c r="D21" s="246"/>
      <c r="E21" s="369">
        <v>3600</v>
      </c>
      <c r="F21" s="246"/>
      <c r="G21" s="246"/>
      <c r="H21" s="248"/>
      <c r="I21" s="247"/>
    </row>
    <row r="22" spans="1:9" ht="15">
      <c r="A22" s="618" t="s">
        <v>189</v>
      </c>
      <c r="B22" s="618"/>
      <c r="C22" s="526"/>
      <c r="D22" s="246"/>
      <c r="E22" s="369">
        <v>289211.67</v>
      </c>
      <c r="F22" s="246"/>
      <c r="G22" s="246"/>
      <c r="H22" s="248"/>
      <c r="I22" s="247"/>
    </row>
    <row r="23" spans="1:9" ht="15">
      <c r="A23" s="618" t="s">
        <v>199</v>
      </c>
      <c r="B23" s="618"/>
      <c r="C23" s="526"/>
      <c r="D23" s="246"/>
      <c r="E23" s="369">
        <v>5344109.42</v>
      </c>
      <c r="F23" s="246"/>
      <c r="G23" s="246"/>
      <c r="H23" s="248"/>
      <c r="I23" s="247"/>
    </row>
    <row r="24" spans="1:9" ht="15">
      <c r="A24" s="618" t="s">
        <v>200</v>
      </c>
      <c r="B24" s="618"/>
      <c r="C24" s="526"/>
      <c r="D24" s="246"/>
      <c r="E24" s="369">
        <v>23592.26</v>
      </c>
      <c r="F24" s="246"/>
      <c r="G24" s="246"/>
      <c r="H24" s="248"/>
      <c r="I24" s="247"/>
    </row>
    <row r="25" spans="1:9" ht="15">
      <c r="A25" s="618" t="s">
        <v>201</v>
      </c>
      <c r="B25" s="618"/>
      <c r="C25" s="526"/>
      <c r="D25" s="246"/>
      <c r="E25" s="369">
        <v>88300</v>
      </c>
      <c r="F25" s="246"/>
      <c r="G25" s="246"/>
      <c r="H25" s="248"/>
      <c r="I25" s="247"/>
    </row>
    <row r="26" spans="1:9" ht="15">
      <c r="A26" s="618" t="s">
        <v>584</v>
      </c>
      <c r="B26" s="618"/>
      <c r="C26" s="526"/>
      <c r="D26" s="246"/>
      <c r="E26" s="395">
        <v>600</v>
      </c>
      <c r="F26" s="246"/>
      <c r="G26" s="246"/>
      <c r="H26" s="248"/>
      <c r="I26" s="247"/>
    </row>
    <row r="27" spans="1:9" ht="15">
      <c r="A27" s="618" t="s">
        <v>600</v>
      </c>
      <c r="B27" s="618"/>
      <c r="C27" s="526"/>
      <c r="D27" s="246"/>
      <c r="E27" s="369">
        <v>10800</v>
      </c>
      <c r="F27" s="246"/>
      <c r="G27" s="246"/>
      <c r="H27" s="248"/>
      <c r="I27" s="247"/>
    </row>
    <row r="28" spans="1:9" ht="15">
      <c r="A28" s="618" t="s">
        <v>495</v>
      </c>
      <c r="B28" s="618"/>
      <c r="C28" s="526"/>
      <c r="D28" s="246"/>
      <c r="E28" s="369">
        <f>142311.02-F28</f>
        <v>33675.68000000001</v>
      </c>
      <c r="F28" s="529">
        <f>64568.89+13589.12+804.03+4770.2+2042.26+13853.94+4135.86+1704.42+3166.62</f>
        <v>108635.33999999998</v>
      </c>
      <c r="G28" s="246"/>
      <c r="H28" s="248"/>
      <c r="I28" s="247"/>
    </row>
    <row r="29" spans="1:9" ht="15">
      <c r="A29" s="618" t="s">
        <v>202</v>
      </c>
      <c r="B29" s="618"/>
      <c r="C29" s="246"/>
      <c r="D29" s="246"/>
      <c r="E29" s="369">
        <v>1496650.76</v>
      </c>
      <c r="F29" s="246"/>
      <c r="G29" s="246"/>
      <c r="H29" s="248"/>
      <c r="I29" s="247"/>
    </row>
    <row r="30" spans="1:9" ht="15">
      <c r="A30" s="618" t="s">
        <v>203</v>
      </c>
      <c r="B30" s="618"/>
      <c r="C30" s="246"/>
      <c r="D30" s="246"/>
      <c r="E30" s="369">
        <v>313834.49</v>
      </c>
      <c r="F30" s="246"/>
      <c r="G30" s="246"/>
      <c r="H30" s="248"/>
      <c r="I30" s="247"/>
    </row>
    <row r="31" spans="1:9" ht="15">
      <c r="A31" s="618" t="s">
        <v>501</v>
      </c>
      <c r="B31" s="618"/>
      <c r="C31" s="246"/>
      <c r="D31" s="246"/>
      <c r="E31" s="369">
        <v>2422.87</v>
      </c>
      <c r="F31" s="246"/>
      <c r="G31" s="246"/>
      <c r="H31" s="248"/>
      <c r="I31" s="247"/>
    </row>
    <row r="32" spans="1:9" ht="14.25">
      <c r="A32" s="618" t="s">
        <v>204</v>
      </c>
      <c r="B32" s="618"/>
      <c r="C32" s="246"/>
      <c r="D32" s="246"/>
      <c r="E32" s="369">
        <v>207270.25</v>
      </c>
      <c r="F32" s="246"/>
      <c r="G32" s="246"/>
      <c r="H32" s="248"/>
      <c r="I32" s="247"/>
    </row>
    <row r="33" spans="1:9" ht="14.25">
      <c r="A33" s="607" t="s">
        <v>291</v>
      </c>
      <c r="B33" s="607"/>
      <c r="C33" s="375"/>
      <c r="D33" s="524">
        <v>0.01</v>
      </c>
      <c r="E33" s="370">
        <v>11333508.22</v>
      </c>
      <c r="F33" s="370">
        <v>11333508.21</v>
      </c>
      <c r="G33" s="375"/>
      <c r="H33" s="371"/>
      <c r="I33" s="373"/>
    </row>
  </sheetData>
  <sheetProtection/>
  <mergeCells count="42">
    <mergeCell ref="F3:F4"/>
    <mergeCell ref="G3:G4"/>
    <mergeCell ref="A1:H1"/>
    <mergeCell ref="A2:B2"/>
    <mergeCell ref="C2:D2"/>
    <mergeCell ref="E2:F2"/>
    <mergeCell ref="G2:I2"/>
    <mergeCell ref="H3:I4"/>
    <mergeCell ref="E3:E4"/>
    <mergeCell ref="A4:B4"/>
    <mergeCell ref="D3:D4"/>
    <mergeCell ref="A3:B3"/>
    <mergeCell ref="A9:B9"/>
    <mergeCell ref="A10:B10"/>
    <mergeCell ref="A11:B11"/>
    <mergeCell ref="C3:C4"/>
    <mergeCell ref="A12:B12"/>
    <mergeCell ref="A13:B13"/>
    <mergeCell ref="A5:B5"/>
    <mergeCell ref="A6:B6"/>
    <mergeCell ref="A7:B7"/>
    <mergeCell ref="A8:B8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3:B33"/>
    <mergeCell ref="A27:B27"/>
    <mergeCell ref="A28:B28"/>
    <mergeCell ref="A29:B29"/>
    <mergeCell ref="A30:B30"/>
    <mergeCell ref="A31:B31"/>
    <mergeCell ref="A32:B3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41"/>
  <sheetViews>
    <sheetView zoomScalePageLayoutView="0" workbookViewId="0" topLeftCell="A20">
      <selection activeCell="C31" sqref="C31"/>
    </sheetView>
  </sheetViews>
  <sheetFormatPr defaultColWidth="9.140625" defaultRowHeight="15"/>
  <cols>
    <col min="3" max="3" width="12.28125" style="0" customWidth="1"/>
    <col min="5" max="5" width="13.421875" style="0" customWidth="1"/>
    <col min="6" max="6" width="12.7109375" style="0" customWidth="1"/>
    <col min="7" max="7" width="12.28125" style="0" customWidth="1"/>
  </cols>
  <sheetData>
    <row r="1" spans="1:9" ht="15.75">
      <c r="A1" s="615" t="s">
        <v>601</v>
      </c>
      <c r="B1" s="615"/>
      <c r="C1" s="615"/>
      <c r="D1" s="615"/>
      <c r="E1" s="615"/>
      <c r="F1" s="615"/>
      <c r="G1" s="615"/>
      <c r="H1" s="615"/>
      <c r="I1" s="450"/>
    </row>
    <row r="2" spans="1:9" ht="15">
      <c r="A2" s="616" t="s">
        <v>174</v>
      </c>
      <c r="B2" s="616"/>
      <c r="C2" s="596" t="s">
        <v>175</v>
      </c>
      <c r="D2" s="596"/>
      <c r="E2" s="596" t="s">
        <v>176</v>
      </c>
      <c r="F2" s="596"/>
      <c r="G2" s="596" t="s">
        <v>177</v>
      </c>
      <c r="H2" s="596"/>
      <c r="I2" s="596"/>
    </row>
    <row r="3" spans="1:9" ht="15">
      <c r="A3" s="616" t="s">
        <v>205</v>
      </c>
      <c r="B3" s="616"/>
      <c r="C3" s="584" t="s">
        <v>178</v>
      </c>
      <c r="D3" s="584" t="s">
        <v>179</v>
      </c>
      <c r="E3" s="584" t="s">
        <v>178</v>
      </c>
      <c r="F3" s="584" t="s">
        <v>179</v>
      </c>
      <c r="G3" s="584" t="s">
        <v>178</v>
      </c>
      <c r="H3" s="584" t="s">
        <v>179</v>
      </c>
      <c r="I3" s="584"/>
    </row>
    <row r="4" spans="1:9" ht="15">
      <c r="A4" s="616" t="s">
        <v>503</v>
      </c>
      <c r="B4" s="616"/>
      <c r="C4" s="585"/>
      <c r="D4" s="585"/>
      <c r="E4" s="585"/>
      <c r="F4" s="585"/>
      <c r="G4" s="585"/>
      <c r="H4" s="587"/>
      <c r="I4" s="589"/>
    </row>
    <row r="5" spans="1:9" ht="15">
      <c r="A5" s="616" t="s">
        <v>504</v>
      </c>
      <c r="B5" s="616"/>
      <c r="C5" s="586"/>
      <c r="D5" s="586"/>
      <c r="E5" s="586"/>
      <c r="F5" s="586"/>
      <c r="G5" s="586"/>
      <c r="H5" s="590"/>
      <c r="I5" s="592"/>
    </row>
    <row r="6" spans="1:9" ht="15">
      <c r="A6" s="617" t="s">
        <v>505</v>
      </c>
      <c r="B6" s="617"/>
      <c r="C6" s="358">
        <v>5884753.44</v>
      </c>
      <c r="D6" s="374"/>
      <c r="E6" s="358">
        <v>56450474.89</v>
      </c>
      <c r="F6" s="358">
        <v>57102649.35</v>
      </c>
      <c r="G6" s="358">
        <v>5232578.98</v>
      </c>
      <c r="H6" s="359"/>
      <c r="I6" s="361"/>
    </row>
    <row r="7" spans="1:9" ht="15">
      <c r="A7" s="620" t="s">
        <v>206</v>
      </c>
      <c r="B7" s="620"/>
      <c r="C7" s="358">
        <v>5884753.44</v>
      </c>
      <c r="D7" s="374"/>
      <c r="E7" s="358">
        <v>53306260.68</v>
      </c>
      <c r="F7" s="358">
        <v>53958435.14</v>
      </c>
      <c r="G7" s="358">
        <v>5232578.98</v>
      </c>
      <c r="H7" s="359"/>
      <c r="I7" s="361"/>
    </row>
    <row r="8" spans="1:9" ht="15">
      <c r="A8" s="622" t="s">
        <v>207</v>
      </c>
      <c r="B8" s="622"/>
      <c r="C8" s="242">
        <v>5884753.44</v>
      </c>
      <c r="D8" s="243"/>
      <c r="E8" s="242">
        <v>46499232</v>
      </c>
      <c r="F8" s="242">
        <v>47151406.46</v>
      </c>
      <c r="G8" s="242">
        <v>5232578.98</v>
      </c>
      <c r="H8" s="244"/>
      <c r="I8" s="245"/>
    </row>
    <row r="9" spans="1:9" ht="15">
      <c r="A9" s="623" t="s">
        <v>509</v>
      </c>
      <c r="B9" s="623"/>
      <c r="C9" s="367">
        <v>5884753.44</v>
      </c>
      <c r="D9" s="363"/>
      <c r="E9" s="367">
        <v>46499232</v>
      </c>
      <c r="F9" s="367">
        <v>47151406.46</v>
      </c>
      <c r="G9" s="367">
        <v>5232578.98</v>
      </c>
      <c r="H9" s="364"/>
      <c r="I9" s="366"/>
    </row>
    <row r="10" spans="1:9" ht="15">
      <c r="A10" s="621" t="s">
        <v>522</v>
      </c>
      <c r="B10" s="621"/>
      <c r="C10" s="527">
        <v>5884753.44</v>
      </c>
      <c r="D10" s="246"/>
      <c r="E10" s="246"/>
      <c r="F10" s="369">
        <v>5884753.44</v>
      </c>
      <c r="G10" s="246"/>
      <c r="H10" s="248"/>
      <c r="I10" s="247"/>
    </row>
    <row r="11" spans="1:9" ht="15">
      <c r="A11" s="621" t="s">
        <v>602</v>
      </c>
      <c r="B11" s="621"/>
      <c r="C11" s="525"/>
      <c r="D11" s="246"/>
      <c r="E11" s="369">
        <v>5742434.27</v>
      </c>
      <c r="F11" s="369">
        <v>5742434.27</v>
      </c>
      <c r="G11" s="246"/>
      <c r="H11" s="248"/>
      <c r="I11" s="247"/>
    </row>
    <row r="12" spans="1:9" ht="15">
      <c r="A12" s="621" t="s">
        <v>603</v>
      </c>
      <c r="B12" s="621"/>
      <c r="C12" s="525"/>
      <c r="D12" s="246"/>
      <c r="E12" s="369">
        <v>5066671.91</v>
      </c>
      <c r="F12" s="369">
        <v>5066671.91</v>
      </c>
      <c r="G12" s="246"/>
      <c r="H12" s="248"/>
      <c r="I12" s="247"/>
    </row>
    <row r="13" spans="1:9" ht="15">
      <c r="A13" s="621" t="s">
        <v>604</v>
      </c>
      <c r="B13" s="621"/>
      <c r="C13" s="525"/>
      <c r="D13" s="246"/>
      <c r="E13" s="369">
        <v>4809929.28</v>
      </c>
      <c r="F13" s="369">
        <v>4809929.28</v>
      </c>
      <c r="G13" s="246"/>
      <c r="H13" s="248"/>
      <c r="I13" s="247"/>
    </row>
    <row r="14" spans="1:9" ht="15">
      <c r="A14" s="621" t="s">
        <v>605</v>
      </c>
      <c r="B14" s="621"/>
      <c r="C14" s="525"/>
      <c r="D14" s="246"/>
      <c r="E14" s="369">
        <v>3874570.24</v>
      </c>
      <c r="F14" s="369">
        <v>3874570.24</v>
      </c>
      <c r="G14" s="246"/>
      <c r="H14" s="248"/>
      <c r="I14" s="247"/>
    </row>
    <row r="15" spans="1:9" ht="15">
      <c r="A15" s="621" t="s">
        <v>606</v>
      </c>
      <c r="B15" s="621"/>
      <c r="C15" s="528" t="s">
        <v>631</v>
      </c>
      <c r="D15" s="246"/>
      <c r="E15" s="369">
        <v>2565133.89</v>
      </c>
      <c r="F15" s="369">
        <v>2565133.89</v>
      </c>
      <c r="G15" s="246"/>
      <c r="H15" s="248"/>
      <c r="I15" s="247"/>
    </row>
    <row r="16" spans="1:9" ht="15">
      <c r="A16" s="621" t="s">
        <v>607</v>
      </c>
      <c r="B16" s="621"/>
      <c r="C16" s="525"/>
      <c r="D16" s="246"/>
      <c r="E16" s="369">
        <v>2518072.74</v>
      </c>
      <c r="F16" s="369">
        <v>2518072.74</v>
      </c>
      <c r="G16" s="246"/>
      <c r="H16" s="248"/>
      <c r="I16" s="247"/>
    </row>
    <row r="17" spans="1:9" ht="15">
      <c r="A17" s="621" t="s">
        <v>608</v>
      </c>
      <c r="B17" s="621"/>
      <c r="C17" s="525"/>
      <c r="D17" s="246"/>
      <c r="E17" s="369">
        <v>2556778.92</v>
      </c>
      <c r="F17" s="369">
        <v>2556778.92</v>
      </c>
      <c r="G17" s="246"/>
      <c r="H17" s="248"/>
      <c r="I17" s="247"/>
    </row>
    <row r="18" spans="1:9" ht="15">
      <c r="A18" s="621" t="s">
        <v>609</v>
      </c>
      <c r="B18" s="621"/>
      <c r="C18" s="525"/>
      <c r="D18" s="246"/>
      <c r="E18" s="369">
        <v>2684871.89</v>
      </c>
      <c r="F18" s="369">
        <v>2684871.89</v>
      </c>
      <c r="G18" s="246"/>
      <c r="H18" s="248"/>
      <c r="I18" s="247"/>
    </row>
    <row r="19" spans="1:9" ht="15">
      <c r="A19" s="621" t="s">
        <v>610</v>
      </c>
      <c r="B19" s="621"/>
      <c r="C19" s="525"/>
      <c r="D19" s="246"/>
      <c r="E19" s="369">
        <v>2919689.65</v>
      </c>
      <c r="F19" s="369">
        <v>2919689.65</v>
      </c>
      <c r="G19" s="246"/>
      <c r="H19" s="248"/>
      <c r="I19" s="247"/>
    </row>
    <row r="20" spans="1:9" ht="15">
      <c r="A20" s="621" t="s">
        <v>611</v>
      </c>
      <c r="B20" s="621"/>
      <c r="C20" s="525"/>
      <c r="D20" s="246"/>
      <c r="E20" s="369">
        <v>3892848.66</v>
      </c>
      <c r="F20" s="369">
        <v>3892848.66</v>
      </c>
      <c r="G20" s="246"/>
      <c r="H20" s="248"/>
      <c r="I20" s="247"/>
    </row>
    <row r="21" spans="1:9" ht="15">
      <c r="A21" s="621" t="s">
        <v>612</v>
      </c>
      <c r="B21" s="621"/>
      <c r="C21" s="525"/>
      <c r="D21" s="246"/>
      <c r="E21" s="369">
        <v>4635651.57</v>
      </c>
      <c r="F21" s="369">
        <v>4635651.57</v>
      </c>
      <c r="G21" s="246"/>
      <c r="H21" s="248"/>
      <c r="I21" s="247"/>
    </row>
    <row r="22" spans="1:9" ht="15">
      <c r="A22" s="621" t="s">
        <v>613</v>
      </c>
      <c r="B22" s="621"/>
      <c r="C22" s="246"/>
      <c r="D22" s="246"/>
      <c r="E22" s="369">
        <v>5232578.98</v>
      </c>
      <c r="F22" s="246"/>
      <c r="G22" s="369">
        <v>5232578.98</v>
      </c>
      <c r="H22" s="248"/>
      <c r="I22" s="247"/>
    </row>
    <row r="23" spans="1:9" ht="15">
      <c r="A23" s="622" t="s">
        <v>614</v>
      </c>
      <c r="B23" s="622"/>
      <c r="C23" s="243"/>
      <c r="D23" s="243"/>
      <c r="E23" s="242">
        <v>2500000</v>
      </c>
      <c r="F23" s="242">
        <v>2500000</v>
      </c>
      <c r="G23" s="243"/>
      <c r="H23" s="244"/>
      <c r="I23" s="245"/>
    </row>
    <row r="24" spans="1:9" ht="15">
      <c r="A24" s="623" t="s">
        <v>615</v>
      </c>
      <c r="B24" s="623"/>
      <c r="C24" s="363"/>
      <c r="D24" s="363"/>
      <c r="E24" s="367">
        <v>2500000</v>
      </c>
      <c r="F24" s="367">
        <v>2500000</v>
      </c>
      <c r="G24" s="363"/>
      <c r="H24" s="364"/>
      <c r="I24" s="366"/>
    </row>
    <row r="25" spans="1:9" ht="15">
      <c r="A25" s="621" t="s">
        <v>616</v>
      </c>
      <c r="B25" s="621"/>
      <c r="C25" s="246"/>
      <c r="D25" s="246"/>
      <c r="E25" s="369">
        <v>2500000</v>
      </c>
      <c r="F25" s="369">
        <v>2500000</v>
      </c>
      <c r="G25" s="246"/>
      <c r="H25" s="248"/>
      <c r="I25" s="247"/>
    </row>
    <row r="26" spans="1:9" ht="15">
      <c r="A26" s="622" t="s">
        <v>617</v>
      </c>
      <c r="B26" s="622"/>
      <c r="C26" s="243"/>
      <c r="D26" s="243"/>
      <c r="E26" s="242">
        <v>1400000</v>
      </c>
      <c r="F26" s="242">
        <v>1400000</v>
      </c>
      <c r="G26" s="243"/>
      <c r="H26" s="244"/>
      <c r="I26" s="245"/>
    </row>
    <row r="27" spans="1:9" ht="15">
      <c r="A27" s="623" t="s">
        <v>618</v>
      </c>
      <c r="B27" s="623"/>
      <c r="C27" s="363"/>
      <c r="D27" s="363"/>
      <c r="E27" s="367">
        <v>1400000</v>
      </c>
      <c r="F27" s="367">
        <v>1400000</v>
      </c>
      <c r="G27" s="363"/>
      <c r="H27" s="364"/>
      <c r="I27" s="366"/>
    </row>
    <row r="28" spans="1:9" ht="15">
      <c r="A28" s="621" t="s">
        <v>619</v>
      </c>
      <c r="B28" s="621"/>
      <c r="C28" s="246"/>
      <c r="D28" s="246"/>
      <c r="E28" s="369">
        <v>1400000</v>
      </c>
      <c r="F28" s="369">
        <v>1400000</v>
      </c>
      <c r="G28" s="246"/>
      <c r="H28" s="248"/>
      <c r="I28" s="247"/>
    </row>
    <row r="29" spans="1:9" ht="15">
      <c r="A29" s="622" t="s">
        <v>620</v>
      </c>
      <c r="B29" s="622"/>
      <c r="C29" s="243"/>
      <c r="D29" s="243"/>
      <c r="E29" s="242">
        <v>2907028.68</v>
      </c>
      <c r="F29" s="242">
        <v>2907028.68</v>
      </c>
      <c r="G29" s="243"/>
      <c r="H29" s="244"/>
      <c r="I29" s="245"/>
    </row>
    <row r="30" spans="1:9" ht="15">
      <c r="A30" s="623" t="s">
        <v>621</v>
      </c>
      <c r="B30" s="623"/>
      <c r="C30" s="363"/>
      <c r="D30" s="363"/>
      <c r="E30" s="367">
        <v>2907028.68</v>
      </c>
      <c r="F30" s="367">
        <v>2907028.68</v>
      </c>
      <c r="G30" s="363"/>
      <c r="H30" s="364"/>
      <c r="I30" s="366"/>
    </row>
    <row r="31" spans="1:9" ht="15">
      <c r="A31" s="621" t="s">
        <v>622</v>
      </c>
      <c r="B31" s="621"/>
      <c r="C31" s="526"/>
      <c r="D31" s="246"/>
      <c r="E31" s="369">
        <v>2907028.68</v>
      </c>
      <c r="F31" s="369">
        <v>2907028.68</v>
      </c>
      <c r="G31" s="246"/>
      <c r="H31" s="248"/>
      <c r="I31" s="247"/>
    </row>
    <row r="32" spans="1:9" ht="15">
      <c r="A32" s="620" t="s">
        <v>623</v>
      </c>
      <c r="B32" s="620"/>
      <c r="C32" s="374"/>
      <c r="D32" s="374"/>
      <c r="E32" s="358">
        <v>3144214.21</v>
      </c>
      <c r="F32" s="358">
        <v>3144214.21</v>
      </c>
      <c r="G32" s="374"/>
      <c r="H32" s="359"/>
      <c r="I32" s="361"/>
    </row>
    <row r="33" spans="1:9" ht="15">
      <c r="A33" s="622" t="s">
        <v>617</v>
      </c>
      <c r="B33" s="622"/>
      <c r="C33" s="243"/>
      <c r="D33" s="243"/>
      <c r="E33" s="242">
        <v>1400000</v>
      </c>
      <c r="F33" s="242">
        <v>1400000</v>
      </c>
      <c r="G33" s="243"/>
      <c r="H33" s="244"/>
      <c r="I33" s="245"/>
    </row>
    <row r="34" spans="1:9" ht="15">
      <c r="A34" s="623" t="s">
        <v>618</v>
      </c>
      <c r="B34" s="623"/>
      <c r="C34" s="363"/>
      <c r="D34" s="363"/>
      <c r="E34" s="367">
        <v>1400000</v>
      </c>
      <c r="F34" s="367">
        <v>1400000</v>
      </c>
      <c r="G34" s="363"/>
      <c r="H34" s="364"/>
      <c r="I34" s="366"/>
    </row>
    <row r="35" spans="1:9" ht="14.25">
      <c r="A35" s="621" t="s">
        <v>624</v>
      </c>
      <c r="B35" s="621"/>
      <c r="C35" s="246"/>
      <c r="D35" s="246"/>
      <c r="E35" s="369">
        <v>1400000</v>
      </c>
      <c r="F35" s="369">
        <v>1400000</v>
      </c>
      <c r="G35" s="246"/>
      <c r="H35" s="248"/>
      <c r="I35" s="247"/>
    </row>
    <row r="36" spans="1:9" ht="14.25">
      <c r="A36" s="622" t="s">
        <v>620</v>
      </c>
      <c r="B36" s="622"/>
      <c r="C36" s="243"/>
      <c r="D36" s="243"/>
      <c r="E36" s="242">
        <v>1744214.21</v>
      </c>
      <c r="F36" s="242">
        <v>1744214.21</v>
      </c>
      <c r="G36" s="243"/>
      <c r="H36" s="244"/>
      <c r="I36" s="245"/>
    </row>
    <row r="37" spans="1:9" ht="14.25">
      <c r="A37" s="623" t="s">
        <v>621</v>
      </c>
      <c r="B37" s="623"/>
      <c r="C37" s="363"/>
      <c r="D37" s="363"/>
      <c r="E37" s="367">
        <v>1744214.21</v>
      </c>
      <c r="F37" s="367">
        <v>1744214.21</v>
      </c>
      <c r="G37" s="363"/>
      <c r="H37" s="364"/>
      <c r="I37" s="366"/>
    </row>
    <row r="38" spans="1:9" ht="14.25">
      <c r="A38" s="621" t="s">
        <v>625</v>
      </c>
      <c r="B38" s="621"/>
      <c r="C38" s="246"/>
      <c r="D38" s="246"/>
      <c r="E38" s="369">
        <v>290702.87</v>
      </c>
      <c r="F38" s="369">
        <v>290702.87</v>
      </c>
      <c r="G38" s="246"/>
      <c r="H38" s="248"/>
      <c r="I38" s="247"/>
    </row>
    <row r="39" spans="1:9" ht="14.25">
      <c r="A39" s="621" t="s">
        <v>626</v>
      </c>
      <c r="B39" s="621"/>
      <c r="C39" s="246"/>
      <c r="D39" s="246"/>
      <c r="E39" s="369">
        <v>872105.6</v>
      </c>
      <c r="F39" s="369">
        <v>872105.6</v>
      </c>
      <c r="G39" s="246"/>
      <c r="H39" s="248"/>
      <c r="I39" s="247"/>
    </row>
    <row r="40" spans="1:9" ht="14.25">
      <c r="A40" s="621" t="s">
        <v>627</v>
      </c>
      <c r="B40" s="621"/>
      <c r="C40" s="246"/>
      <c r="D40" s="246"/>
      <c r="E40" s="369">
        <v>581405.74</v>
      </c>
      <c r="F40" s="369">
        <v>581405.74</v>
      </c>
      <c r="G40" s="246"/>
      <c r="H40" s="248"/>
      <c r="I40" s="247"/>
    </row>
    <row r="41" spans="1:9" ht="14.25">
      <c r="A41" s="607" t="s">
        <v>291</v>
      </c>
      <c r="B41" s="607"/>
      <c r="C41" s="370">
        <v>5884753.44</v>
      </c>
      <c r="D41" s="375"/>
      <c r="E41" s="370">
        <v>56450474.89</v>
      </c>
      <c r="F41" s="370">
        <v>57102649.35</v>
      </c>
      <c r="G41" s="370">
        <v>5232578.98</v>
      </c>
      <c r="H41" s="371"/>
      <c r="I41" s="373"/>
    </row>
  </sheetData>
  <sheetProtection/>
  <mergeCells count="50">
    <mergeCell ref="F3:F5"/>
    <mergeCell ref="G3:G5"/>
    <mergeCell ref="A1:H1"/>
    <mergeCell ref="A2:B2"/>
    <mergeCell ref="C2:D2"/>
    <mergeCell ref="E2:F2"/>
    <mergeCell ref="G2:I2"/>
    <mergeCell ref="H3:I5"/>
    <mergeCell ref="E3:E5"/>
    <mergeCell ref="A3:B3"/>
    <mergeCell ref="A4:B4"/>
    <mergeCell ref="A5:B5"/>
    <mergeCell ref="A9:B9"/>
    <mergeCell ref="A10:B10"/>
    <mergeCell ref="C3:C5"/>
    <mergeCell ref="D3:D5"/>
    <mergeCell ref="A11:B11"/>
    <mergeCell ref="A12:B12"/>
    <mergeCell ref="A13:B13"/>
    <mergeCell ref="A6:B6"/>
    <mergeCell ref="A7:B7"/>
    <mergeCell ref="A8:B8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I31"/>
  <sheetViews>
    <sheetView zoomScalePageLayoutView="0" workbookViewId="0" topLeftCell="A13">
      <selection activeCell="A28" sqref="A28:B28"/>
    </sheetView>
  </sheetViews>
  <sheetFormatPr defaultColWidth="9.140625" defaultRowHeight="15"/>
  <cols>
    <col min="5" max="5" width="12.421875" style="0" customWidth="1"/>
    <col min="6" max="6" width="13.28125" style="0" customWidth="1"/>
  </cols>
  <sheetData>
    <row r="1" spans="1:9" ht="15.75">
      <c r="A1" s="615" t="s">
        <v>628</v>
      </c>
      <c r="B1" s="615"/>
      <c r="C1" s="615"/>
      <c r="D1" s="615"/>
      <c r="E1" s="615"/>
      <c r="F1" s="615"/>
      <c r="G1" s="615"/>
      <c r="H1" s="615"/>
      <c r="I1" s="450"/>
    </row>
    <row r="2" spans="1:9" ht="15">
      <c r="A2" s="616" t="s">
        <v>174</v>
      </c>
      <c r="B2" s="616"/>
      <c r="C2" s="596" t="s">
        <v>175</v>
      </c>
      <c r="D2" s="596"/>
      <c r="E2" s="596" t="s">
        <v>176</v>
      </c>
      <c r="F2" s="596"/>
      <c r="G2" s="596" t="s">
        <v>177</v>
      </c>
      <c r="H2" s="596"/>
      <c r="I2" s="596"/>
    </row>
    <row r="3" spans="1:9" ht="15">
      <c r="A3" s="624" t="s">
        <v>208</v>
      </c>
      <c r="B3" s="624"/>
      <c r="C3" s="584" t="s">
        <v>178</v>
      </c>
      <c r="D3" s="584" t="s">
        <v>179</v>
      </c>
      <c r="E3" s="584" t="s">
        <v>178</v>
      </c>
      <c r="F3" s="584" t="s">
        <v>179</v>
      </c>
      <c r="G3" s="584" t="s">
        <v>178</v>
      </c>
      <c r="H3" s="584" t="s">
        <v>179</v>
      </c>
      <c r="I3" s="584"/>
    </row>
    <row r="4" spans="1:9" ht="15">
      <c r="A4" s="625"/>
      <c r="B4" s="626"/>
      <c r="C4" s="586"/>
      <c r="D4" s="586"/>
      <c r="E4" s="586"/>
      <c r="F4" s="586"/>
      <c r="G4" s="586"/>
      <c r="H4" s="590"/>
      <c r="I4" s="592"/>
    </row>
    <row r="5" spans="1:9" ht="15">
      <c r="A5" s="617" t="s">
        <v>524</v>
      </c>
      <c r="B5" s="617"/>
      <c r="C5" s="374"/>
      <c r="D5" s="374"/>
      <c r="E5" s="358">
        <v>15335562.05</v>
      </c>
      <c r="F5" s="358">
        <v>15335562.05</v>
      </c>
      <c r="G5" s="374"/>
      <c r="H5" s="359"/>
      <c r="I5" s="361"/>
    </row>
    <row r="6" spans="1:9" ht="15">
      <c r="A6" s="620" t="s">
        <v>209</v>
      </c>
      <c r="B6" s="620"/>
      <c r="C6" s="374"/>
      <c r="D6" s="374"/>
      <c r="E6" s="358">
        <v>5856502.51</v>
      </c>
      <c r="F6" s="358">
        <v>5856502.51</v>
      </c>
      <c r="G6" s="374"/>
      <c r="H6" s="359"/>
      <c r="I6" s="361"/>
    </row>
    <row r="7" spans="1:9" ht="15">
      <c r="A7" s="619" t="s">
        <v>188</v>
      </c>
      <c r="B7" s="619"/>
      <c r="C7" s="246"/>
      <c r="D7" s="246"/>
      <c r="E7" s="369">
        <v>5856502.51</v>
      </c>
      <c r="F7" s="246"/>
      <c r="G7" s="246"/>
      <c r="H7" s="248"/>
      <c r="I7" s="247"/>
    </row>
    <row r="8" spans="1:9" ht="15">
      <c r="A8" s="619" t="s">
        <v>629</v>
      </c>
      <c r="B8" s="619"/>
      <c r="C8" s="246"/>
      <c r="D8" s="246"/>
      <c r="E8" s="246"/>
      <c r="F8" s="369">
        <v>2500000</v>
      </c>
      <c r="G8" s="246"/>
      <c r="H8" s="248"/>
      <c r="I8" s="247"/>
    </row>
    <row r="9" spans="1:9" ht="15">
      <c r="A9" s="619" t="s">
        <v>630</v>
      </c>
      <c r="B9" s="619"/>
      <c r="C9" s="246"/>
      <c r="D9" s="246"/>
      <c r="E9" s="246"/>
      <c r="F9" s="369">
        <v>1400000</v>
      </c>
      <c r="G9" s="246"/>
      <c r="H9" s="248"/>
      <c r="I9" s="247"/>
    </row>
    <row r="10" spans="1:9" ht="15">
      <c r="A10" s="619" t="s">
        <v>210</v>
      </c>
      <c r="B10" s="619"/>
      <c r="C10" s="246"/>
      <c r="D10" s="246"/>
      <c r="E10" s="246"/>
      <c r="F10" s="369">
        <v>1004165.86</v>
      </c>
      <c r="G10" s="246"/>
      <c r="H10" s="248"/>
      <c r="I10" s="247"/>
    </row>
    <row r="11" spans="1:9" ht="15">
      <c r="A11" s="619" t="s">
        <v>211</v>
      </c>
      <c r="B11" s="619"/>
      <c r="C11" s="246"/>
      <c r="D11" s="246"/>
      <c r="E11" s="246"/>
      <c r="F11" s="369">
        <v>57070.21</v>
      </c>
      <c r="G11" s="246"/>
      <c r="H11" s="248"/>
      <c r="I11" s="247"/>
    </row>
    <row r="12" spans="1:9" ht="15">
      <c r="A12" s="619" t="s">
        <v>211</v>
      </c>
      <c r="B12" s="619"/>
      <c r="C12" s="246"/>
      <c r="D12" s="246"/>
      <c r="E12" s="246"/>
      <c r="F12" s="369">
        <v>49931.49</v>
      </c>
      <c r="G12" s="246"/>
      <c r="H12" s="248"/>
      <c r="I12" s="247"/>
    </row>
    <row r="13" spans="1:9" ht="15">
      <c r="A13" s="619" t="s">
        <v>212</v>
      </c>
      <c r="B13" s="619"/>
      <c r="C13" s="246"/>
      <c r="D13" s="246"/>
      <c r="E13" s="246"/>
      <c r="F13" s="369">
        <v>651749.68</v>
      </c>
      <c r="G13" s="246"/>
      <c r="H13" s="248"/>
      <c r="I13" s="247"/>
    </row>
    <row r="14" spans="1:9" ht="15">
      <c r="A14" s="619" t="s">
        <v>213</v>
      </c>
      <c r="B14" s="619"/>
      <c r="C14" s="246"/>
      <c r="D14" s="246"/>
      <c r="E14" s="246"/>
      <c r="F14" s="369">
        <v>193585.27</v>
      </c>
      <c r="G14" s="246"/>
      <c r="H14" s="248"/>
      <c r="I14" s="247"/>
    </row>
    <row r="15" spans="1:9" ht="15">
      <c r="A15" s="620" t="s">
        <v>214</v>
      </c>
      <c r="B15" s="620"/>
      <c r="C15" s="374"/>
      <c r="D15" s="374"/>
      <c r="E15" s="358">
        <v>3516898.08</v>
      </c>
      <c r="F15" s="358">
        <v>3516898.08</v>
      </c>
      <c r="G15" s="374"/>
      <c r="H15" s="359"/>
      <c r="I15" s="361"/>
    </row>
    <row r="16" spans="1:9" ht="15">
      <c r="A16" s="619" t="s">
        <v>188</v>
      </c>
      <c r="B16" s="619"/>
      <c r="C16" s="246"/>
      <c r="D16" s="246"/>
      <c r="E16" s="246"/>
      <c r="F16" s="369">
        <v>3516898.08</v>
      </c>
      <c r="G16" s="246"/>
      <c r="H16" s="248"/>
      <c r="I16" s="247"/>
    </row>
    <row r="17" spans="1:9" ht="15">
      <c r="A17" s="619" t="s">
        <v>215</v>
      </c>
      <c r="B17" s="619"/>
      <c r="C17" s="525"/>
      <c r="D17" s="246"/>
      <c r="E17" s="369">
        <v>10100</v>
      </c>
      <c r="F17" s="246"/>
      <c r="G17" s="246"/>
      <c r="H17" s="248"/>
      <c r="I17" s="247"/>
    </row>
    <row r="18" spans="1:9" ht="15">
      <c r="A18" s="619" t="s">
        <v>629</v>
      </c>
      <c r="B18" s="619"/>
      <c r="C18" s="246"/>
      <c r="D18" s="246"/>
      <c r="E18" s="369">
        <v>1953495.69</v>
      </c>
      <c r="F18" s="246"/>
      <c r="G18" s="246"/>
      <c r="H18" s="248"/>
      <c r="I18" s="247"/>
    </row>
    <row r="19" spans="1:9" ht="15">
      <c r="A19" s="619" t="s">
        <v>630</v>
      </c>
      <c r="B19" s="619"/>
      <c r="C19" s="246"/>
      <c r="D19" s="246"/>
      <c r="E19" s="369">
        <v>1092825.24</v>
      </c>
      <c r="F19" s="246"/>
      <c r="G19" s="246"/>
      <c r="H19" s="248"/>
      <c r="I19" s="247"/>
    </row>
    <row r="20" spans="1:9" ht="15">
      <c r="A20" s="619" t="s">
        <v>210</v>
      </c>
      <c r="B20" s="619"/>
      <c r="C20" s="246"/>
      <c r="D20" s="246"/>
      <c r="E20" s="369">
        <v>15616.44</v>
      </c>
      <c r="F20" s="246"/>
      <c r="G20" s="246"/>
      <c r="H20" s="248"/>
      <c r="I20" s="247"/>
    </row>
    <row r="21" spans="1:9" ht="15">
      <c r="A21" s="619" t="s">
        <v>211</v>
      </c>
      <c r="B21" s="619"/>
      <c r="C21" s="525"/>
      <c r="D21" s="246"/>
      <c r="E21" s="369">
        <v>32401.23</v>
      </c>
      <c r="F21" s="246"/>
      <c r="G21" s="246"/>
      <c r="H21" s="248"/>
      <c r="I21" s="247"/>
    </row>
    <row r="22" spans="1:9" ht="15">
      <c r="A22" s="619" t="s">
        <v>211</v>
      </c>
      <c r="B22" s="619"/>
      <c r="C22" s="246"/>
      <c r="D22" s="246"/>
      <c r="E22" s="369">
        <v>9197.06</v>
      </c>
      <c r="F22" s="246"/>
      <c r="G22" s="246"/>
      <c r="H22" s="248"/>
      <c r="I22" s="247"/>
    </row>
    <row r="23" spans="1:9" ht="15">
      <c r="A23" s="619" t="s">
        <v>216</v>
      </c>
      <c r="B23" s="619"/>
      <c r="C23" s="246"/>
      <c r="D23" s="246"/>
      <c r="E23" s="369">
        <v>5250</v>
      </c>
      <c r="F23" s="246"/>
      <c r="G23" s="246"/>
      <c r="H23" s="248"/>
      <c r="I23" s="247"/>
    </row>
    <row r="24" spans="1:9" ht="15">
      <c r="A24" s="619" t="s">
        <v>212</v>
      </c>
      <c r="B24" s="619"/>
      <c r="C24" s="246"/>
      <c r="D24" s="246"/>
      <c r="E24" s="369">
        <v>260520.95</v>
      </c>
      <c r="F24" s="246"/>
      <c r="G24" s="246"/>
      <c r="H24" s="248"/>
      <c r="I24" s="247"/>
    </row>
    <row r="25" spans="1:9" ht="15">
      <c r="A25" s="619" t="s">
        <v>213</v>
      </c>
      <c r="B25" s="619"/>
      <c r="C25" s="246"/>
      <c r="D25" s="246"/>
      <c r="E25" s="369">
        <v>78698.76</v>
      </c>
      <c r="F25" s="246"/>
      <c r="G25" s="246"/>
      <c r="H25" s="248"/>
      <c r="I25" s="247"/>
    </row>
    <row r="26" spans="1:9" ht="15">
      <c r="A26" s="619" t="s">
        <v>217</v>
      </c>
      <c r="B26" s="619"/>
      <c r="C26" s="525"/>
      <c r="D26" s="246"/>
      <c r="E26" s="369">
        <v>3199.95</v>
      </c>
      <c r="F26" s="246"/>
      <c r="G26" s="246"/>
      <c r="H26" s="248"/>
      <c r="I26" s="247"/>
    </row>
    <row r="27" spans="1:9" ht="15">
      <c r="A27" s="619" t="s">
        <v>218</v>
      </c>
      <c r="B27" s="619"/>
      <c r="C27" s="525"/>
      <c r="D27" s="246"/>
      <c r="E27" s="369">
        <v>51460.48</v>
      </c>
      <c r="F27" s="246"/>
      <c r="G27" s="246"/>
      <c r="H27" s="248"/>
      <c r="I27" s="247"/>
    </row>
    <row r="28" spans="1:9" ht="15">
      <c r="A28" s="618" t="s">
        <v>248</v>
      </c>
      <c r="B28" s="618"/>
      <c r="C28" s="525"/>
      <c r="D28" s="246"/>
      <c r="E28" s="369">
        <v>4132.28</v>
      </c>
      <c r="F28" s="246"/>
      <c r="G28" s="246"/>
      <c r="H28" s="248"/>
      <c r="I28" s="247"/>
    </row>
    <row r="29" spans="1:9" ht="15">
      <c r="A29" s="620" t="s">
        <v>219</v>
      </c>
      <c r="B29" s="620"/>
      <c r="C29" s="374"/>
      <c r="D29" s="374"/>
      <c r="E29" s="358">
        <v>5962161.46</v>
      </c>
      <c r="F29" s="358">
        <v>5962161.46</v>
      </c>
      <c r="G29" s="374"/>
      <c r="H29" s="359"/>
      <c r="I29" s="361"/>
    </row>
    <row r="30" spans="1:9" ht="14.25">
      <c r="A30" s="619" t="s">
        <v>188</v>
      </c>
      <c r="B30" s="619"/>
      <c r="C30" s="246"/>
      <c r="D30" s="246"/>
      <c r="E30" s="369">
        <v>5962161.46</v>
      </c>
      <c r="F30" s="369">
        <v>5962161.46</v>
      </c>
      <c r="G30" s="246"/>
      <c r="H30" s="248"/>
      <c r="I30" s="247"/>
    </row>
    <row r="31" spans="1:9" ht="14.25">
      <c r="A31" s="607" t="s">
        <v>291</v>
      </c>
      <c r="B31" s="607"/>
      <c r="C31" s="375"/>
      <c r="D31" s="375"/>
      <c r="E31" s="370">
        <v>15335562.05</v>
      </c>
      <c r="F31" s="370">
        <v>15335562.05</v>
      </c>
      <c r="G31" s="375"/>
      <c r="H31" s="371"/>
      <c r="I31" s="373"/>
    </row>
  </sheetData>
  <sheetProtection/>
  <mergeCells count="39">
    <mergeCell ref="F3:F4"/>
    <mergeCell ref="G3:G4"/>
    <mergeCell ref="A1:H1"/>
    <mergeCell ref="A2:B2"/>
    <mergeCell ref="C2:D2"/>
    <mergeCell ref="E2:F2"/>
    <mergeCell ref="G2:I2"/>
    <mergeCell ref="H3:I4"/>
    <mergeCell ref="E3:E4"/>
    <mergeCell ref="C3:C4"/>
    <mergeCell ref="D3:D4"/>
    <mergeCell ref="A3:B4"/>
    <mergeCell ref="A10:B10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26:B26"/>
    <mergeCell ref="A15:B15"/>
    <mergeCell ref="A16:B16"/>
    <mergeCell ref="A17:B17"/>
    <mergeCell ref="A18:B18"/>
    <mergeCell ref="A19:B19"/>
    <mergeCell ref="A20:B20"/>
    <mergeCell ref="A27:B27"/>
    <mergeCell ref="A21:B21"/>
    <mergeCell ref="A28:B28"/>
    <mergeCell ref="A29:B29"/>
    <mergeCell ref="A30:B30"/>
    <mergeCell ref="A31:B31"/>
    <mergeCell ref="A22:B22"/>
    <mergeCell ref="A23:B23"/>
    <mergeCell ref="A24:B24"/>
    <mergeCell ref="A25:B2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I99"/>
  <sheetViews>
    <sheetView tabSelected="1" zoomScale="90" zoomScaleNormal="90" zoomScalePageLayoutView="0" workbookViewId="0" topLeftCell="A76">
      <selection activeCell="G87" sqref="G87"/>
    </sheetView>
  </sheetViews>
  <sheetFormatPr defaultColWidth="9.00390625" defaultRowHeight="15"/>
  <cols>
    <col min="1" max="1" width="6.00390625" style="110" customWidth="1"/>
    <col min="2" max="2" width="31.28125" style="89" customWidth="1"/>
    <col min="3" max="3" width="8.28125" style="89" customWidth="1"/>
    <col min="4" max="4" width="11.140625" style="89" customWidth="1"/>
    <col min="5" max="5" width="10.7109375" style="89" customWidth="1"/>
    <col min="6" max="7" width="11.421875" style="89" customWidth="1"/>
    <col min="8" max="16384" width="9.00390625" style="89" customWidth="1"/>
  </cols>
  <sheetData>
    <row r="1" spans="2:8" ht="18.75">
      <c r="B1" s="90" t="s">
        <v>13</v>
      </c>
      <c r="H1" s="327"/>
    </row>
    <row r="2" spans="2:8" ht="18.75">
      <c r="B2" s="90" t="s">
        <v>14</v>
      </c>
      <c r="E2" s="688"/>
      <c r="F2" s="688"/>
      <c r="G2" s="688"/>
      <c r="H2" s="327"/>
    </row>
    <row r="3" spans="1:8" ht="33.75">
      <c r="A3" s="150" t="s">
        <v>7</v>
      </c>
      <c r="B3" s="92" t="s">
        <v>438</v>
      </c>
      <c r="C3" s="92" t="s">
        <v>297</v>
      </c>
      <c r="D3" s="227" t="s">
        <v>229</v>
      </c>
      <c r="E3" s="227" t="s">
        <v>483</v>
      </c>
      <c r="F3" s="227" t="s">
        <v>581</v>
      </c>
      <c r="G3" s="709" t="s">
        <v>582</v>
      </c>
      <c r="H3" s="327"/>
    </row>
    <row r="4" spans="1:8" ht="15">
      <c r="A4" s="151">
        <v>1</v>
      </c>
      <c r="B4" s="94">
        <f>A4+1</f>
        <v>2</v>
      </c>
      <c r="C4" s="94">
        <f>B4+1</f>
        <v>3</v>
      </c>
      <c r="D4" s="94">
        <f>C4+1</f>
        <v>4</v>
      </c>
      <c r="E4" s="94">
        <f>D4+1</f>
        <v>5</v>
      </c>
      <c r="F4" s="94">
        <f>E4+1</f>
        <v>6</v>
      </c>
      <c r="G4" s="94">
        <f>F4+1</f>
        <v>7</v>
      </c>
      <c r="H4" s="327"/>
    </row>
    <row r="5" spans="1:8" ht="15">
      <c r="A5" s="105" t="s">
        <v>3</v>
      </c>
      <c r="B5" s="95" t="s">
        <v>15</v>
      </c>
      <c r="C5" s="96" t="s">
        <v>401</v>
      </c>
      <c r="D5" s="97">
        <v>7.4</v>
      </c>
      <c r="E5" s="407">
        <v>2.5</v>
      </c>
      <c r="F5" s="532">
        <v>4.3</v>
      </c>
      <c r="G5" s="691">
        <v>4.3</v>
      </c>
      <c r="H5" s="327"/>
    </row>
    <row r="6" spans="1:8" ht="22.5">
      <c r="A6" s="105" t="s">
        <v>2</v>
      </c>
      <c r="B6" s="95" t="s">
        <v>16</v>
      </c>
      <c r="C6" s="96" t="s">
        <v>401</v>
      </c>
      <c r="D6" s="98">
        <v>1</v>
      </c>
      <c r="E6" s="408">
        <v>1</v>
      </c>
      <c r="F6" s="98">
        <v>1</v>
      </c>
      <c r="G6" s="692">
        <v>1</v>
      </c>
      <c r="H6" s="327"/>
    </row>
    <row r="7" spans="1:8" ht="15">
      <c r="A7" s="105" t="s">
        <v>1</v>
      </c>
      <c r="B7" s="95" t="s">
        <v>17</v>
      </c>
      <c r="C7" s="96" t="s">
        <v>18</v>
      </c>
      <c r="D7" s="98">
        <v>350</v>
      </c>
      <c r="E7" s="408">
        <v>405.6015</v>
      </c>
      <c r="F7" s="98">
        <v>406.55649999999997</v>
      </c>
      <c r="G7" s="693">
        <v>321.01</v>
      </c>
      <c r="H7" s="327"/>
    </row>
    <row r="8" spans="1:8" ht="22.5">
      <c r="A8" s="105" t="s">
        <v>283</v>
      </c>
      <c r="B8" s="95" t="s">
        <v>19</v>
      </c>
      <c r="C8" s="96" t="s">
        <v>401</v>
      </c>
      <c r="D8" s="98">
        <v>0</v>
      </c>
      <c r="E8" s="408"/>
      <c r="F8" s="98">
        <v>0.05277249287614387</v>
      </c>
      <c r="G8" s="692">
        <v>-0.26649169807794143</v>
      </c>
      <c r="H8" s="327"/>
    </row>
    <row r="9" spans="1:8" ht="15">
      <c r="A9" s="105" t="s">
        <v>284</v>
      </c>
      <c r="B9" s="99" t="s">
        <v>20</v>
      </c>
      <c r="C9" s="100"/>
      <c r="D9" s="98">
        <v>0.75</v>
      </c>
      <c r="E9" s="98">
        <v>0.75</v>
      </c>
      <c r="F9" s="98">
        <v>0.75</v>
      </c>
      <c r="G9" s="692">
        <v>0.75</v>
      </c>
      <c r="H9" s="327"/>
    </row>
    <row r="10" spans="1:8" ht="15.75" thickBot="1">
      <c r="A10" s="152" t="s">
        <v>286</v>
      </c>
      <c r="B10" s="101" t="s">
        <v>21</v>
      </c>
      <c r="C10" s="102"/>
      <c r="D10" s="725">
        <v>1.063</v>
      </c>
      <c r="E10" s="726">
        <v>1.1356534759821426</v>
      </c>
      <c r="F10" s="726">
        <v>1.0343934110635684</v>
      </c>
      <c r="G10" s="727"/>
      <c r="H10" s="327"/>
    </row>
    <row r="11" spans="1:8" s="110" customFormat="1" ht="15">
      <c r="A11" s="137"/>
      <c r="B11" s="137"/>
      <c r="C11" s="137"/>
      <c r="D11" s="137"/>
      <c r="E11" s="418"/>
      <c r="F11" s="689"/>
      <c r="G11" s="694"/>
      <c r="H11" s="326"/>
    </row>
    <row r="12" spans="1:8" ht="15.75" thickBot="1">
      <c r="A12" s="627" t="s">
        <v>22</v>
      </c>
      <c r="B12" s="628"/>
      <c r="C12" s="628"/>
      <c r="D12" s="228"/>
      <c r="E12" s="228"/>
      <c r="F12" s="228"/>
      <c r="G12" s="695"/>
      <c r="H12" s="327"/>
    </row>
    <row r="13" spans="1:8" ht="15">
      <c r="A13" s="153"/>
      <c r="B13" s="104"/>
      <c r="C13" s="104"/>
      <c r="D13" s="103"/>
      <c r="E13" s="103"/>
      <c r="F13" s="103"/>
      <c r="G13" s="696"/>
      <c r="H13" s="327"/>
    </row>
    <row r="14" spans="1:8" ht="33.75">
      <c r="A14" s="93" t="str">
        <f aca="true" t="shared" si="0" ref="A14:G15">A3</f>
        <v>№ п/п</v>
      </c>
      <c r="B14" s="93" t="str">
        <f t="shared" si="0"/>
        <v>Показатели</v>
      </c>
      <c r="C14" s="93" t="str">
        <f t="shared" si="0"/>
        <v>Единица измерения</v>
      </c>
      <c r="D14" s="227" t="s">
        <v>229</v>
      </c>
      <c r="E14" s="227" t="s">
        <v>483</v>
      </c>
      <c r="F14" s="227" t="s">
        <v>581</v>
      </c>
      <c r="G14" s="709" t="s">
        <v>582</v>
      </c>
      <c r="H14" s="327"/>
    </row>
    <row r="15" spans="1:8" ht="15">
      <c r="A15" s="138">
        <f t="shared" si="0"/>
        <v>1</v>
      </c>
      <c r="B15" s="491">
        <f t="shared" si="0"/>
        <v>2</v>
      </c>
      <c r="C15" s="491">
        <f t="shared" si="0"/>
        <v>3</v>
      </c>
      <c r="D15" s="493">
        <f t="shared" si="0"/>
        <v>4</v>
      </c>
      <c r="E15" s="493">
        <f t="shared" si="0"/>
        <v>5</v>
      </c>
      <c r="F15" s="493">
        <f t="shared" si="0"/>
        <v>6</v>
      </c>
      <c r="G15" s="493">
        <f t="shared" si="0"/>
        <v>7</v>
      </c>
      <c r="H15" s="327"/>
    </row>
    <row r="16" spans="1:8" ht="22.5">
      <c r="A16" s="134" t="s">
        <v>433</v>
      </c>
      <c r="B16" s="249" t="s">
        <v>23</v>
      </c>
      <c r="C16" s="115" t="s">
        <v>347</v>
      </c>
      <c r="D16" s="531">
        <v>7305.678030000001</v>
      </c>
      <c r="E16" s="531">
        <v>7614.898859999999</v>
      </c>
      <c r="F16" s="531">
        <v>8931.740769999999</v>
      </c>
      <c r="G16" s="697">
        <v>7439.22</v>
      </c>
      <c r="H16" s="327"/>
    </row>
    <row r="17" spans="1:8" ht="22.5">
      <c r="A17" s="105" t="s">
        <v>24</v>
      </c>
      <c r="B17" s="108" t="s">
        <v>366</v>
      </c>
      <c r="C17" s="107" t="s">
        <v>347</v>
      </c>
      <c r="D17" s="531">
        <v>189.16091</v>
      </c>
      <c r="E17" s="531">
        <v>202.16976999999997</v>
      </c>
      <c r="F17" s="520">
        <v>199.93768999999998</v>
      </c>
      <c r="G17" s="697">
        <v>113.78999999999999</v>
      </c>
      <c r="H17" s="327"/>
    </row>
    <row r="18" spans="1:8" ht="22.5">
      <c r="A18" s="105" t="s">
        <v>25</v>
      </c>
      <c r="B18" s="108" t="s">
        <v>26</v>
      </c>
      <c r="C18" s="107" t="s">
        <v>347</v>
      </c>
      <c r="D18" s="521">
        <v>189.16091</v>
      </c>
      <c r="E18" s="521">
        <v>98.96128999999999</v>
      </c>
      <c r="F18" s="521">
        <v>108.63533999999999</v>
      </c>
      <c r="G18" s="698">
        <v>54.88</v>
      </c>
      <c r="H18" s="326"/>
    </row>
    <row r="19" spans="1:8" ht="22.5">
      <c r="A19" s="105" t="s">
        <v>27</v>
      </c>
      <c r="B19" s="108" t="s">
        <v>28</v>
      </c>
      <c r="C19" s="107" t="s">
        <v>347</v>
      </c>
      <c r="D19" s="521">
        <v>0</v>
      </c>
      <c r="E19" s="521">
        <v>103.20848</v>
      </c>
      <c r="F19" s="521">
        <v>91.30234999999999</v>
      </c>
      <c r="G19" s="698">
        <v>58.91</v>
      </c>
      <c r="H19" s="326"/>
    </row>
    <row r="20" spans="1:8" ht="56.25">
      <c r="A20" s="105" t="s">
        <v>29</v>
      </c>
      <c r="B20" s="108" t="s">
        <v>30</v>
      </c>
      <c r="C20" s="107" t="s">
        <v>347</v>
      </c>
      <c r="D20" s="521">
        <v>6486.008640000001</v>
      </c>
      <c r="E20" s="521">
        <v>6767.220609999999</v>
      </c>
      <c r="F20" s="409">
        <v>7591.3114</v>
      </c>
      <c r="G20" s="698">
        <v>6694.92</v>
      </c>
      <c r="H20" s="326"/>
    </row>
    <row r="21" spans="1:8" ht="22.5">
      <c r="A21" s="105" t="s">
        <v>31</v>
      </c>
      <c r="B21" s="108" t="s">
        <v>11</v>
      </c>
      <c r="C21" s="107" t="s">
        <v>347</v>
      </c>
      <c r="D21" s="521">
        <v>0</v>
      </c>
      <c r="E21" s="521">
        <v>15</v>
      </c>
      <c r="F21" s="409">
        <v>587.32296</v>
      </c>
      <c r="G21" s="698"/>
      <c r="H21" s="326"/>
    </row>
    <row r="22" spans="1:8" ht="22.5">
      <c r="A22" s="105" t="s">
        <v>32</v>
      </c>
      <c r="B22" s="108" t="s">
        <v>264</v>
      </c>
      <c r="C22" s="107" t="s">
        <v>347</v>
      </c>
      <c r="D22" s="521">
        <v>630.50848</v>
      </c>
      <c r="E22" s="521">
        <v>630.50848</v>
      </c>
      <c r="F22" s="409">
        <v>553.16872</v>
      </c>
      <c r="G22" s="698">
        <v>630.51</v>
      </c>
      <c r="H22" s="326"/>
    </row>
    <row r="23" spans="1:8" ht="22.5">
      <c r="A23" s="105" t="s">
        <v>431</v>
      </c>
      <c r="B23" s="106" t="s">
        <v>33</v>
      </c>
      <c r="C23" s="107" t="s">
        <v>347</v>
      </c>
      <c r="D23" s="521">
        <v>3353.55316</v>
      </c>
      <c r="E23" s="521">
        <v>3488.60168</v>
      </c>
      <c r="F23" s="409">
        <v>5344.10942</v>
      </c>
      <c r="G23" s="698">
        <v>5059.87</v>
      </c>
      <c r="H23" s="326"/>
    </row>
    <row r="24" spans="1:8" ht="22.5">
      <c r="A24" s="105" t="s">
        <v>429</v>
      </c>
      <c r="B24" s="106" t="s">
        <v>34</v>
      </c>
      <c r="C24" s="107" t="s">
        <v>347</v>
      </c>
      <c r="D24" s="531">
        <v>3835.1283799999997</v>
      </c>
      <c r="E24" s="531">
        <v>2279.0728099999997</v>
      </c>
      <c r="F24" s="531">
        <v>4714.55677</v>
      </c>
      <c r="G24" s="697">
        <v>811.48</v>
      </c>
      <c r="H24" s="327"/>
    </row>
    <row r="25" spans="1:9" s="110" customFormat="1" ht="22.5">
      <c r="A25" s="105" t="s">
        <v>35</v>
      </c>
      <c r="B25" s="109" t="s">
        <v>36</v>
      </c>
      <c r="C25" s="107" t="s">
        <v>347</v>
      </c>
      <c r="D25" s="521">
        <v>58.85678</v>
      </c>
      <c r="E25" s="521">
        <v>104.27652</v>
      </c>
      <c r="F25" s="409">
        <v>3166.7491600000003</v>
      </c>
      <c r="G25" s="698">
        <v>580.16</v>
      </c>
      <c r="H25" s="326"/>
      <c r="I25" s="89"/>
    </row>
    <row r="26" spans="1:9" s="110" customFormat="1" ht="22.5">
      <c r="A26" s="105" t="s">
        <v>37</v>
      </c>
      <c r="B26" s="111" t="s">
        <v>38</v>
      </c>
      <c r="C26" s="112" t="s">
        <v>347</v>
      </c>
      <c r="D26" s="531">
        <v>3776.2715999999996</v>
      </c>
      <c r="E26" s="531">
        <v>2174.7962899999998</v>
      </c>
      <c r="F26" s="531">
        <v>1547.8076099999996</v>
      </c>
      <c r="G26" s="697">
        <v>231.32</v>
      </c>
      <c r="H26" s="326"/>
      <c r="I26" s="89"/>
    </row>
    <row r="27" spans="1:9" s="110" customFormat="1" ht="22.5">
      <c r="A27" s="105" t="s">
        <v>39</v>
      </c>
      <c r="B27" s="113" t="s">
        <v>40</v>
      </c>
      <c r="C27" s="107" t="s">
        <v>347</v>
      </c>
      <c r="D27" s="521">
        <v>301.63946000000004</v>
      </c>
      <c r="E27" s="521">
        <v>215.59423999999999</v>
      </c>
      <c r="F27" s="409">
        <v>207.27025</v>
      </c>
      <c r="G27" s="698">
        <v>48.54</v>
      </c>
      <c r="H27" s="326"/>
      <c r="I27" s="89"/>
    </row>
    <row r="28" spans="1:9" s="110" customFormat="1" ht="22.5">
      <c r="A28" s="105" t="s">
        <v>41</v>
      </c>
      <c r="B28" s="113" t="s">
        <v>42</v>
      </c>
      <c r="C28" s="107" t="s">
        <v>347</v>
      </c>
      <c r="D28" s="521">
        <v>0</v>
      </c>
      <c r="E28" s="521">
        <v>3.096</v>
      </c>
      <c r="F28" s="409">
        <v>116.324</v>
      </c>
      <c r="G28" s="698">
        <v>42.56</v>
      </c>
      <c r="H28" s="326"/>
      <c r="I28" s="89"/>
    </row>
    <row r="29" spans="1:9" s="110" customFormat="1" ht="22.5">
      <c r="A29" s="105" t="s">
        <v>43</v>
      </c>
      <c r="B29" s="113" t="s">
        <v>44</v>
      </c>
      <c r="C29" s="107" t="s">
        <v>347</v>
      </c>
      <c r="D29" s="521">
        <v>0</v>
      </c>
      <c r="E29" s="521">
        <v>0</v>
      </c>
      <c r="F29" s="409"/>
      <c r="G29" s="698"/>
      <c r="H29" s="326"/>
      <c r="I29" s="89"/>
    </row>
    <row r="30" spans="1:9" s="110" customFormat="1" ht="22.5">
      <c r="A30" s="105" t="s">
        <v>45</v>
      </c>
      <c r="B30" s="113" t="s">
        <v>46</v>
      </c>
      <c r="C30" s="107" t="s">
        <v>347</v>
      </c>
      <c r="D30" s="521">
        <v>6.4</v>
      </c>
      <c r="E30" s="521">
        <v>0</v>
      </c>
      <c r="F30" s="409"/>
      <c r="G30" s="698">
        <v>10.45</v>
      </c>
      <c r="H30" s="326"/>
      <c r="I30" s="89"/>
    </row>
    <row r="31" spans="1:9" s="110" customFormat="1" ht="22.5">
      <c r="A31" s="105" t="s">
        <v>47</v>
      </c>
      <c r="B31" s="113" t="s">
        <v>48</v>
      </c>
      <c r="C31" s="107" t="s">
        <v>347</v>
      </c>
      <c r="D31" s="521">
        <v>139.4</v>
      </c>
      <c r="E31" s="521">
        <v>134.61441</v>
      </c>
      <c r="F31" s="409">
        <v>61.017</v>
      </c>
      <c r="G31" s="698">
        <v>7.93</v>
      </c>
      <c r="H31" s="326"/>
      <c r="I31" s="89"/>
    </row>
    <row r="32" spans="1:9" s="110" customFormat="1" ht="22.5">
      <c r="A32" s="105" t="s">
        <v>49</v>
      </c>
      <c r="B32" s="113" t="s">
        <v>50</v>
      </c>
      <c r="C32" s="107" t="s">
        <v>347</v>
      </c>
      <c r="D32" s="521">
        <v>0.8</v>
      </c>
      <c r="E32" s="521">
        <v>215.2</v>
      </c>
      <c r="F32" s="409">
        <v>168</v>
      </c>
      <c r="G32" s="698">
        <v>4.12</v>
      </c>
      <c r="H32" s="326"/>
      <c r="I32" s="89"/>
    </row>
    <row r="33" spans="1:8" ht="22.5">
      <c r="A33" s="105" t="s">
        <v>51</v>
      </c>
      <c r="B33" s="113" t="s">
        <v>52</v>
      </c>
      <c r="C33" s="107" t="s">
        <v>347</v>
      </c>
      <c r="D33" s="521">
        <v>0</v>
      </c>
      <c r="E33" s="521">
        <v>0</v>
      </c>
      <c r="F33" s="409"/>
      <c r="G33" s="698">
        <v>5.8</v>
      </c>
      <c r="H33" s="326"/>
    </row>
    <row r="34" spans="1:8" ht="22.5">
      <c r="A34" s="105" t="s">
        <v>53</v>
      </c>
      <c r="B34" s="113" t="s">
        <v>54</v>
      </c>
      <c r="C34" s="107" t="s">
        <v>347</v>
      </c>
      <c r="D34" s="521">
        <v>0</v>
      </c>
      <c r="E34" s="521">
        <v>0</v>
      </c>
      <c r="F34" s="409"/>
      <c r="G34" s="698"/>
      <c r="H34" s="326"/>
    </row>
    <row r="35" spans="1:8" ht="22.5">
      <c r="A35" s="105" t="s">
        <v>55</v>
      </c>
      <c r="B35" s="113" t="s">
        <v>56</v>
      </c>
      <c r="C35" s="107" t="s">
        <v>347</v>
      </c>
      <c r="D35" s="521">
        <v>2299.6876599999996</v>
      </c>
      <c r="E35" s="521">
        <v>434.2380699999998</v>
      </c>
      <c r="F35" s="409">
        <v>313.83449</v>
      </c>
      <c r="G35" s="698">
        <v>4.86</v>
      </c>
      <c r="H35" s="326"/>
    </row>
    <row r="36" spans="1:8" ht="33.75">
      <c r="A36" s="105" t="s">
        <v>57</v>
      </c>
      <c r="B36" s="113" t="s">
        <v>58</v>
      </c>
      <c r="C36" s="107" t="s">
        <v>347</v>
      </c>
      <c r="D36" s="521">
        <v>2.30161</v>
      </c>
      <c r="E36" s="521">
        <v>19.95594</v>
      </c>
      <c r="F36" s="409">
        <v>10.8</v>
      </c>
      <c r="G36" s="698"/>
      <c r="H36" s="326"/>
    </row>
    <row r="37" spans="1:8" ht="21.75" customHeight="1">
      <c r="A37" s="105" t="s">
        <v>59</v>
      </c>
      <c r="B37" s="113" t="s">
        <v>60</v>
      </c>
      <c r="C37" s="107" t="s">
        <v>347</v>
      </c>
      <c r="D37" s="521">
        <v>0</v>
      </c>
      <c r="E37" s="521">
        <v>37.28711</v>
      </c>
      <c r="F37" s="409"/>
      <c r="G37" s="698"/>
      <c r="H37" s="326"/>
    </row>
    <row r="38" spans="1:8" ht="22.5">
      <c r="A38" s="105" t="s">
        <v>61</v>
      </c>
      <c r="B38" s="113" t="s">
        <v>62</v>
      </c>
      <c r="C38" s="107" t="s">
        <v>347</v>
      </c>
      <c r="D38" s="521">
        <v>72.95</v>
      </c>
      <c r="E38" s="521">
        <v>173.3</v>
      </c>
      <c r="F38" s="409">
        <v>91.9</v>
      </c>
      <c r="G38" s="698">
        <v>24.35</v>
      </c>
      <c r="H38" s="326"/>
    </row>
    <row r="39" spans="1:8" ht="22.5">
      <c r="A39" s="105" t="s">
        <v>63</v>
      </c>
      <c r="B39" s="113" t="s">
        <v>64</v>
      </c>
      <c r="C39" s="107" t="s">
        <v>347</v>
      </c>
      <c r="D39" s="521">
        <v>753.26228</v>
      </c>
      <c r="E39" s="521">
        <v>859.76424</v>
      </c>
      <c r="F39" s="409">
        <v>534.05918</v>
      </c>
      <c r="G39" s="698">
        <v>82.71</v>
      </c>
      <c r="H39" s="326"/>
    </row>
    <row r="40" spans="1:8" ht="22.5">
      <c r="A40" s="105" t="s">
        <v>65</v>
      </c>
      <c r="B40" s="113" t="s">
        <v>357</v>
      </c>
      <c r="C40" s="107" t="s">
        <v>347</v>
      </c>
      <c r="D40" s="521">
        <v>0</v>
      </c>
      <c r="E40" s="521">
        <v>0</v>
      </c>
      <c r="F40" s="409"/>
      <c r="G40" s="698"/>
      <c r="H40" s="326"/>
    </row>
    <row r="41" spans="1:8" ht="22.5">
      <c r="A41" s="105" t="s">
        <v>66</v>
      </c>
      <c r="B41" s="113" t="s">
        <v>67</v>
      </c>
      <c r="C41" s="107" t="s">
        <v>347</v>
      </c>
      <c r="D41" s="521">
        <v>0</v>
      </c>
      <c r="E41" s="521">
        <v>0</v>
      </c>
      <c r="F41" s="409"/>
      <c r="G41" s="698"/>
      <c r="H41" s="326"/>
    </row>
    <row r="42" spans="1:8" ht="22.5">
      <c r="A42" s="105" t="s">
        <v>68</v>
      </c>
      <c r="B42" s="89" t="s">
        <v>69</v>
      </c>
      <c r="C42" s="107" t="s">
        <v>347</v>
      </c>
      <c r="D42" s="521">
        <v>199.83058999999997</v>
      </c>
      <c r="E42" s="521">
        <v>81.74628</v>
      </c>
      <c r="F42" s="409">
        <v>44.60269000000001</v>
      </c>
      <c r="G42" s="698"/>
      <c r="H42" s="326"/>
    </row>
    <row r="43" spans="1:8" ht="22.5">
      <c r="A43" s="134" t="s">
        <v>396</v>
      </c>
      <c r="B43" s="114" t="s">
        <v>70</v>
      </c>
      <c r="C43" s="115" t="s">
        <v>347</v>
      </c>
      <c r="D43" s="531">
        <v>50.66974</v>
      </c>
      <c r="E43" s="531">
        <v>51.66411</v>
      </c>
      <c r="F43" s="531">
        <v>2.42287</v>
      </c>
      <c r="G43" s="697">
        <v>79.73</v>
      </c>
      <c r="H43" s="327"/>
    </row>
    <row r="44" spans="1:8" ht="22.5">
      <c r="A44" s="105" t="s">
        <v>394</v>
      </c>
      <c r="B44" s="108" t="s">
        <v>71</v>
      </c>
      <c r="C44" s="107" t="s">
        <v>347</v>
      </c>
      <c r="D44" s="521">
        <v>50.66974</v>
      </c>
      <c r="E44" s="521">
        <v>51.66411</v>
      </c>
      <c r="F44" s="409">
        <v>2.42287</v>
      </c>
      <c r="G44" s="698">
        <v>79.73</v>
      </c>
      <c r="H44" s="326"/>
    </row>
    <row r="45" spans="1:8" ht="22.5">
      <c r="A45" s="105" t="s">
        <v>393</v>
      </c>
      <c r="B45" s="116" t="s">
        <v>72</v>
      </c>
      <c r="C45" s="107" t="s">
        <v>347</v>
      </c>
      <c r="D45" s="521">
        <v>0</v>
      </c>
      <c r="E45" s="521">
        <v>0</v>
      </c>
      <c r="F45" s="409"/>
      <c r="G45" s="698"/>
      <c r="H45" s="326"/>
    </row>
    <row r="46" spans="1:8" ht="22.5">
      <c r="A46" s="105" t="s">
        <v>392</v>
      </c>
      <c r="B46" s="108" t="s">
        <v>73</v>
      </c>
      <c r="C46" s="107" t="s">
        <v>347</v>
      </c>
      <c r="D46" s="521">
        <v>0</v>
      </c>
      <c r="E46" s="521">
        <v>0</v>
      </c>
      <c r="F46" s="409"/>
      <c r="G46" s="698"/>
      <c r="H46" s="326"/>
    </row>
    <row r="47" spans="1:8" ht="30">
      <c r="A47" s="105" t="s">
        <v>74</v>
      </c>
      <c r="B47" s="149" t="s">
        <v>75</v>
      </c>
      <c r="C47" s="107" t="s">
        <v>347</v>
      </c>
      <c r="D47" s="521">
        <v>0</v>
      </c>
      <c r="E47" s="521">
        <v>0</v>
      </c>
      <c r="F47" s="409"/>
      <c r="G47" s="698"/>
      <c r="H47" s="326"/>
    </row>
    <row r="48" spans="1:8" ht="22.5">
      <c r="A48" s="134" t="s">
        <v>390</v>
      </c>
      <c r="B48" s="114" t="s">
        <v>76</v>
      </c>
      <c r="C48" s="115" t="s">
        <v>347</v>
      </c>
      <c r="D48" s="531">
        <v>47.71983</v>
      </c>
      <c r="E48" s="531">
        <v>7.419110000000001</v>
      </c>
      <c r="F48" s="531"/>
      <c r="G48" s="697"/>
      <c r="H48" s="327"/>
    </row>
    <row r="49" spans="1:8" ht="22.5">
      <c r="A49" s="105" t="s">
        <v>388</v>
      </c>
      <c r="B49" s="108" t="s">
        <v>77</v>
      </c>
      <c r="C49" s="107" t="s">
        <v>347</v>
      </c>
      <c r="D49" s="521">
        <v>0</v>
      </c>
      <c r="E49" s="521">
        <v>0</v>
      </c>
      <c r="F49" s="409"/>
      <c r="G49" s="698"/>
      <c r="H49" s="327"/>
    </row>
    <row r="50" spans="1:8" ht="33.75">
      <c r="A50" s="105" t="s">
        <v>386</v>
      </c>
      <c r="B50" s="108" t="s">
        <v>78</v>
      </c>
      <c r="C50" s="107" t="s">
        <v>347</v>
      </c>
      <c r="D50" s="521">
        <v>0</v>
      </c>
      <c r="E50" s="521">
        <v>0</v>
      </c>
      <c r="F50" s="409"/>
      <c r="G50" s="698"/>
      <c r="H50" s="327"/>
    </row>
    <row r="51" spans="1:8" ht="22.5">
      <c r="A51" s="105" t="s">
        <v>384</v>
      </c>
      <c r="B51" s="108" t="s">
        <v>79</v>
      </c>
      <c r="C51" s="107" t="s">
        <v>347</v>
      </c>
      <c r="D51" s="521">
        <v>0</v>
      </c>
      <c r="E51" s="521">
        <v>0</v>
      </c>
      <c r="F51" s="409"/>
      <c r="G51" s="698"/>
      <c r="H51" s="327"/>
    </row>
    <row r="52" spans="1:8" ht="22.5">
      <c r="A52" s="105" t="s">
        <v>382</v>
      </c>
      <c r="B52" s="110" t="s">
        <v>80</v>
      </c>
      <c r="C52" s="708" t="s">
        <v>347</v>
      </c>
      <c r="D52" s="521">
        <v>47.71983</v>
      </c>
      <c r="E52" s="521">
        <v>7.419110000000001</v>
      </c>
      <c r="F52" s="409"/>
      <c r="G52" s="698"/>
      <c r="H52" s="327"/>
    </row>
    <row r="53" spans="1:8" ht="15">
      <c r="A53" s="201" t="s">
        <v>378</v>
      </c>
      <c r="B53" s="202" t="s">
        <v>292</v>
      </c>
      <c r="C53" s="107"/>
      <c r="D53" s="521">
        <v>0</v>
      </c>
      <c r="E53" s="521">
        <v>0</v>
      </c>
      <c r="F53" s="409"/>
      <c r="G53" s="698"/>
      <c r="H53" s="327"/>
    </row>
    <row r="54" spans="1:8" ht="23.25" thickBot="1">
      <c r="A54" s="117"/>
      <c r="B54" s="118" t="s">
        <v>81</v>
      </c>
      <c r="C54" s="119" t="s">
        <v>347</v>
      </c>
      <c r="D54" s="120">
        <v>14592.74914</v>
      </c>
      <c r="E54" s="120">
        <v>13441.65657</v>
      </c>
      <c r="F54" s="714">
        <v>18992.829829999995</v>
      </c>
      <c r="G54" s="715">
        <v>13390.3</v>
      </c>
      <c r="H54" s="327"/>
    </row>
    <row r="55" spans="1:8" ht="15">
      <c r="A55" s="137"/>
      <c r="B55" s="103"/>
      <c r="C55" s="103"/>
      <c r="D55" s="121"/>
      <c r="E55" s="121"/>
      <c r="F55" s="121"/>
      <c r="G55" s="699"/>
      <c r="H55" s="327"/>
    </row>
    <row r="56" spans="1:8" ht="15.75" thickBot="1">
      <c r="A56" s="627" t="s">
        <v>82</v>
      </c>
      <c r="B56" s="628"/>
      <c r="C56" s="628"/>
      <c r="D56" s="228"/>
      <c r="E56" s="228"/>
      <c r="F56" s="228"/>
      <c r="G56" s="695"/>
      <c r="H56" s="327"/>
    </row>
    <row r="57" spans="1:8" ht="15">
      <c r="A57" s="153"/>
      <c r="B57" s="137"/>
      <c r="C57" s="137"/>
      <c r="D57" s="137"/>
      <c r="E57" s="137"/>
      <c r="F57" s="137"/>
      <c r="G57" s="700"/>
      <c r="H57" s="327"/>
    </row>
    <row r="58" spans="1:8" ht="33.75">
      <c r="A58" s="93" t="str">
        <f>A3</f>
        <v>№ п/п</v>
      </c>
      <c r="B58" s="93" t="str">
        <f>B3</f>
        <v>Показатели</v>
      </c>
      <c r="C58" s="92" t="s">
        <v>297</v>
      </c>
      <c r="D58" s="227" t="s">
        <v>229</v>
      </c>
      <c r="E58" s="227" t="s">
        <v>483</v>
      </c>
      <c r="F58" s="227" t="s">
        <v>581</v>
      </c>
      <c r="G58" s="713" t="s">
        <v>582</v>
      </c>
      <c r="H58" s="327"/>
    </row>
    <row r="59" spans="1:8" ht="15">
      <c r="A59" s="490">
        <f>A4</f>
        <v>1</v>
      </c>
      <c r="B59" s="491">
        <f>B4</f>
        <v>2</v>
      </c>
      <c r="C59" s="491">
        <f>C4</f>
        <v>3</v>
      </c>
      <c r="D59" s="493">
        <f>D4</f>
        <v>4</v>
      </c>
      <c r="E59" s="493">
        <f>E4</f>
        <v>5</v>
      </c>
      <c r="F59" s="493">
        <f>F4</f>
        <v>6</v>
      </c>
      <c r="G59" s="493">
        <f>G4</f>
        <v>7</v>
      </c>
      <c r="H59" s="327"/>
    </row>
    <row r="60" spans="1:8" ht="22.5">
      <c r="A60" s="135" t="s">
        <v>363</v>
      </c>
      <c r="B60" s="122" t="s">
        <v>83</v>
      </c>
      <c r="C60" s="123" t="s">
        <v>347</v>
      </c>
      <c r="D60" s="409">
        <v>0</v>
      </c>
      <c r="E60" s="521">
        <v>0</v>
      </c>
      <c r="F60" s="717"/>
      <c r="G60" s="701"/>
      <c r="H60" s="327"/>
    </row>
    <row r="61" spans="1:8" ht="22.5">
      <c r="A61" s="190"/>
      <c r="B61" s="160" t="s">
        <v>84</v>
      </c>
      <c r="C61" s="161" t="s">
        <v>347</v>
      </c>
      <c r="D61" s="716"/>
      <c r="E61" s="721">
        <v>1029.04316</v>
      </c>
      <c r="F61" s="718">
        <v>1437.92409</v>
      </c>
      <c r="G61" s="702"/>
      <c r="H61" s="326"/>
    </row>
    <row r="62" spans="1:8" ht="22.5">
      <c r="A62" s="135" t="s">
        <v>362</v>
      </c>
      <c r="B62" s="122" t="s">
        <v>85</v>
      </c>
      <c r="C62" s="123" t="s">
        <v>347</v>
      </c>
      <c r="D62" s="409">
        <v>0</v>
      </c>
      <c r="E62" s="521">
        <v>0</v>
      </c>
      <c r="F62" s="719"/>
      <c r="G62" s="701"/>
      <c r="H62" s="327"/>
    </row>
    <row r="63" spans="1:8" ht="22.5">
      <c r="A63" s="135" t="s">
        <v>360</v>
      </c>
      <c r="B63" s="106" t="s">
        <v>86</v>
      </c>
      <c r="C63" s="107" t="s">
        <v>347</v>
      </c>
      <c r="D63" s="531">
        <v>5337.37827</v>
      </c>
      <c r="E63" s="520">
        <v>10302.84278</v>
      </c>
      <c r="F63" s="690">
        <v>3906.41625</v>
      </c>
      <c r="G63" s="711">
        <v>2184.42</v>
      </c>
      <c r="H63" s="327"/>
    </row>
    <row r="64" spans="1:8" ht="22.5">
      <c r="A64" s="135" t="s">
        <v>254</v>
      </c>
      <c r="B64" s="106" t="s">
        <v>250</v>
      </c>
      <c r="C64" s="107"/>
      <c r="D64" s="409">
        <v>191</v>
      </c>
      <c r="E64" s="521">
        <v>848.1355800000001</v>
      </c>
      <c r="F64" s="719">
        <v>1336.2711600000002</v>
      </c>
      <c r="G64" s="701">
        <v>1196.27</v>
      </c>
      <c r="H64" s="326"/>
    </row>
    <row r="65" spans="1:8" ht="15">
      <c r="A65" s="135" t="s">
        <v>255</v>
      </c>
      <c r="B65" s="106" t="s">
        <v>251</v>
      </c>
      <c r="C65" s="107"/>
      <c r="D65" s="409">
        <v>4468.0338</v>
      </c>
      <c r="E65" s="521">
        <v>4468.9702800000005</v>
      </c>
      <c r="F65" s="719">
        <v>1467.19747</v>
      </c>
      <c r="G65" s="701">
        <v>455.88</v>
      </c>
      <c r="H65" s="326"/>
    </row>
    <row r="66" spans="1:8" ht="22.5">
      <c r="A66" s="135" t="s">
        <v>256</v>
      </c>
      <c r="B66" s="106" t="s">
        <v>252</v>
      </c>
      <c r="C66" s="107"/>
      <c r="D66" s="409">
        <v>150.98003</v>
      </c>
      <c r="E66" s="521">
        <v>4494.30852</v>
      </c>
      <c r="F66" s="719">
        <v>549.3291700000001</v>
      </c>
      <c r="G66" s="701"/>
      <c r="H66" s="326"/>
    </row>
    <row r="67" spans="1:8" ht="15">
      <c r="A67" s="135" t="s">
        <v>257</v>
      </c>
      <c r="B67" s="106" t="s">
        <v>253</v>
      </c>
      <c r="C67" s="107"/>
      <c r="D67" s="409">
        <v>527.36444</v>
      </c>
      <c r="E67" s="521">
        <v>491.4284</v>
      </c>
      <c r="F67" s="719">
        <v>553.6184499999999</v>
      </c>
      <c r="G67" s="701">
        <v>532.27</v>
      </c>
      <c r="H67" s="326"/>
    </row>
    <row r="68" spans="1:8" ht="22.5">
      <c r="A68" s="135" t="s">
        <v>359</v>
      </c>
      <c r="B68" s="106" t="s">
        <v>87</v>
      </c>
      <c r="C68" s="107" t="s">
        <v>347</v>
      </c>
      <c r="D68" s="537">
        <v>1699.4789500000002</v>
      </c>
      <c r="E68" s="722">
        <v>4563.48381</v>
      </c>
      <c r="F68" s="720">
        <v>1835.9972799999998</v>
      </c>
      <c r="G68" s="712">
        <v>1666.36</v>
      </c>
      <c r="H68" s="327"/>
    </row>
    <row r="69" spans="1:8" ht="22.5">
      <c r="A69" s="105" t="s">
        <v>358</v>
      </c>
      <c r="B69" s="124" t="s">
        <v>88</v>
      </c>
      <c r="C69" s="107" t="s">
        <v>347</v>
      </c>
      <c r="D69" s="409">
        <v>0</v>
      </c>
      <c r="E69" s="521">
        <v>0</v>
      </c>
      <c r="F69" s="719"/>
      <c r="G69" s="701"/>
      <c r="H69" s="326"/>
    </row>
    <row r="70" spans="1:8" ht="22.5">
      <c r="A70" s="105" t="s">
        <v>356</v>
      </c>
      <c r="B70" s="124" t="s">
        <v>89</v>
      </c>
      <c r="C70" s="107" t="s">
        <v>347</v>
      </c>
      <c r="D70" s="409">
        <v>44.857</v>
      </c>
      <c r="E70" s="521">
        <v>99.319</v>
      </c>
      <c r="F70" s="719"/>
      <c r="G70" s="701">
        <v>0</v>
      </c>
      <c r="H70" s="326"/>
    </row>
    <row r="71" spans="1:8" ht="22.5">
      <c r="A71" s="105" t="s">
        <v>355</v>
      </c>
      <c r="B71" s="124" t="s">
        <v>90</v>
      </c>
      <c r="C71" s="107" t="s">
        <v>347</v>
      </c>
      <c r="D71" s="409">
        <v>9.904950000000001</v>
      </c>
      <c r="E71" s="521">
        <v>2714.3078100000002</v>
      </c>
      <c r="F71" s="719">
        <v>4.53228</v>
      </c>
      <c r="G71" s="701"/>
      <c r="H71" s="326"/>
    </row>
    <row r="72" spans="1:8" ht="22.5">
      <c r="A72" s="105" t="s">
        <v>354</v>
      </c>
      <c r="B72" s="125" t="s">
        <v>342</v>
      </c>
      <c r="C72" s="112" t="s">
        <v>347</v>
      </c>
      <c r="D72" s="409">
        <v>1644.717</v>
      </c>
      <c r="E72" s="521">
        <v>1749.857</v>
      </c>
      <c r="F72" s="719">
        <v>1831.465</v>
      </c>
      <c r="G72" s="701">
        <v>1666.36</v>
      </c>
      <c r="H72" s="326"/>
    </row>
    <row r="73" spans="1:8" ht="22.5">
      <c r="A73" s="105" t="s">
        <v>353</v>
      </c>
      <c r="B73" s="122" t="s">
        <v>361</v>
      </c>
      <c r="C73" s="107" t="s">
        <v>347</v>
      </c>
      <c r="D73" s="409">
        <v>927.14249</v>
      </c>
      <c r="E73" s="521">
        <v>1022.79093</v>
      </c>
      <c r="F73" s="719">
        <v>1550.05193</v>
      </c>
      <c r="G73" s="701">
        <v>1593.88</v>
      </c>
      <c r="H73" s="326"/>
    </row>
    <row r="74" spans="1:8" ht="22.5">
      <c r="A74" s="105" t="s">
        <v>352</v>
      </c>
      <c r="B74" s="110" t="s">
        <v>91</v>
      </c>
      <c r="C74" s="107" t="s">
        <v>347</v>
      </c>
      <c r="D74" s="409">
        <v>0</v>
      </c>
      <c r="E74" s="521">
        <v>4.87603</v>
      </c>
      <c r="F74" s="719"/>
      <c r="G74" s="701"/>
      <c r="H74" s="326"/>
    </row>
    <row r="75" spans="1:8" ht="22.5">
      <c r="A75" s="105" t="s">
        <v>351</v>
      </c>
      <c r="B75" s="122" t="s">
        <v>92</v>
      </c>
      <c r="C75" s="107" t="s">
        <v>347</v>
      </c>
      <c r="D75" s="409">
        <v>2303</v>
      </c>
      <c r="E75" s="521">
        <v>0</v>
      </c>
      <c r="F75" s="719"/>
      <c r="G75" s="701"/>
      <c r="H75" s="326"/>
    </row>
    <row r="76" spans="1:8" ht="22.5">
      <c r="A76" s="105" t="s">
        <v>350</v>
      </c>
      <c r="B76" s="122" t="s">
        <v>93</v>
      </c>
      <c r="C76" s="107" t="s">
        <v>347</v>
      </c>
      <c r="D76" s="409">
        <v>0</v>
      </c>
      <c r="E76" s="521">
        <v>0</v>
      </c>
      <c r="F76" s="717"/>
      <c r="G76" s="701"/>
      <c r="H76" s="326"/>
    </row>
    <row r="77" spans="1:8" ht="22.5">
      <c r="A77" s="105" t="s">
        <v>448</v>
      </c>
      <c r="B77" s="122" t="s">
        <v>447</v>
      </c>
      <c r="C77" s="107" t="s">
        <v>347</v>
      </c>
      <c r="D77" s="537">
        <v>20198.866759999997</v>
      </c>
      <c r="E77" s="722">
        <v>19384.94903</v>
      </c>
      <c r="F77" s="720">
        <v>18138.51955</v>
      </c>
      <c r="G77" s="710">
        <v>17188.08</v>
      </c>
      <c r="H77" s="327"/>
    </row>
    <row r="78" spans="1:8" ht="22.5">
      <c r="A78" s="105" t="s">
        <v>258</v>
      </c>
      <c r="B78" s="126" t="s">
        <v>94</v>
      </c>
      <c r="C78" s="112" t="s">
        <v>347</v>
      </c>
      <c r="D78" s="409">
        <v>20198.866759999997</v>
      </c>
      <c r="E78" s="521">
        <v>19384.94903</v>
      </c>
      <c r="F78" s="717">
        <v>18138.51955</v>
      </c>
      <c r="G78" s="701">
        <v>17188.08</v>
      </c>
      <c r="H78" s="326"/>
    </row>
    <row r="79" spans="1:8" ht="22.5">
      <c r="A79" s="105" t="s">
        <v>259</v>
      </c>
      <c r="B79" s="127" t="s">
        <v>95</v>
      </c>
      <c r="C79" s="107" t="s">
        <v>347</v>
      </c>
      <c r="D79" s="409">
        <v>0</v>
      </c>
      <c r="E79" s="521">
        <v>0</v>
      </c>
      <c r="F79" s="717"/>
      <c r="G79" s="701"/>
      <c r="H79" s="327"/>
    </row>
    <row r="80" spans="1:8" ht="22.5">
      <c r="A80" s="105" t="s">
        <v>260</v>
      </c>
      <c r="B80" s="136" t="s">
        <v>96</v>
      </c>
      <c r="C80" s="107" t="s">
        <v>347</v>
      </c>
      <c r="D80" s="409">
        <v>0</v>
      </c>
      <c r="E80" s="521">
        <v>0</v>
      </c>
      <c r="F80" s="717"/>
      <c r="G80" s="701"/>
      <c r="H80" s="327"/>
    </row>
    <row r="81" spans="1:8" ht="22.5">
      <c r="A81" s="105" t="s">
        <v>261</v>
      </c>
      <c r="B81" s="122" t="s">
        <v>97</v>
      </c>
      <c r="C81" s="107" t="s">
        <v>347</v>
      </c>
      <c r="D81" s="409">
        <v>0</v>
      </c>
      <c r="E81" s="521">
        <v>0</v>
      </c>
      <c r="F81" s="717"/>
      <c r="G81" s="701"/>
      <c r="H81" s="327"/>
    </row>
    <row r="82" spans="1:8" ht="23.25" thickBot="1">
      <c r="A82" s="128"/>
      <c r="B82" s="118" t="s">
        <v>98</v>
      </c>
      <c r="C82" s="119" t="s">
        <v>347</v>
      </c>
      <c r="D82" s="536">
        <v>30465.866469999997</v>
      </c>
      <c r="E82" s="723">
        <v>35278.94258</v>
      </c>
      <c r="F82" s="723">
        <v>25430.98501</v>
      </c>
      <c r="G82" s="724">
        <v>22632.74</v>
      </c>
      <c r="H82" s="327"/>
    </row>
    <row r="83" spans="1:8" ht="15">
      <c r="A83" s="154"/>
      <c r="B83" s="103"/>
      <c r="C83" s="103"/>
      <c r="D83" s="325"/>
      <c r="E83" s="129"/>
      <c r="F83" s="129"/>
      <c r="G83" s="325"/>
      <c r="H83" s="327"/>
    </row>
    <row r="84" spans="1:8" ht="15.75" thickBot="1">
      <c r="A84" s="629" t="s">
        <v>99</v>
      </c>
      <c r="B84" s="630"/>
      <c r="C84" s="630"/>
      <c r="D84" s="251">
        <v>-1058.3880999999892</v>
      </c>
      <c r="E84" s="250"/>
      <c r="F84" s="250"/>
      <c r="G84" s="703"/>
      <c r="H84" s="327"/>
    </row>
    <row r="85" spans="1:8" ht="15">
      <c r="A85" s="155"/>
      <c r="B85" s="130"/>
      <c r="C85" s="130"/>
      <c r="D85" s="121"/>
      <c r="E85" s="121"/>
      <c r="F85" s="121"/>
      <c r="G85" s="699"/>
      <c r="H85" s="327"/>
    </row>
    <row r="86" spans="1:8" ht="33.75">
      <c r="A86" s="150" t="str">
        <f>A3</f>
        <v>№ п/п</v>
      </c>
      <c r="B86" s="91" t="str">
        <f>B3</f>
        <v>Показатели</v>
      </c>
      <c r="C86" s="92" t="s">
        <v>297</v>
      </c>
      <c r="D86" s="227" t="s">
        <v>229</v>
      </c>
      <c r="E86" s="227" t="s">
        <v>483</v>
      </c>
      <c r="F86" s="227" t="s">
        <v>581</v>
      </c>
      <c r="G86" s="709" t="s">
        <v>582</v>
      </c>
      <c r="H86" s="327"/>
    </row>
    <row r="87" spans="1:8" ht="15">
      <c r="A87" s="151">
        <f>A4</f>
        <v>1</v>
      </c>
      <c r="B87" s="492">
        <f>B4</f>
        <v>2</v>
      </c>
      <c r="C87" s="492">
        <f>C4</f>
        <v>3</v>
      </c>
      <c r="D87" s="492">
        <f>D4</f>
        <v>4</v>
      </c>
      <c r="E87" s="492">
        <f>E4</f>
        <v>5</v>
      </c>
      <c r="F87" s="492">
        <f>F4</f>
        <v>6</v>
      </c>
      <c r="G87" s="492">
        <f>G4</f>
        <v>7</v>
      </c>
      <c r="H87" s="327"/>
    </row>
    <row r="88" spans="1:8" ht="33.75">
      <c r="A88" s="156" t="s">
        <v>104</v>
      </c>
      <c r="B88" s="347" t="s">
        <v>99</v>
      </c>
      <c r="C88" s="348" t="s">
        <v>347</v>
      </c>
      <c r="D88" s="132"/>
      <c r="E88" s="132">
        <v>765.3545048308224</v>
      </c>
      <c r="F88" s="132"/>
      <c r="G88" s="704"/>
      <c r="H88" s="327"/>
    </row>
    <row r="89" spans="1:8" ht="22.5">
      <c r="A89" s="345"/>
      <c r="B89" s="349" t="s">
        <v>470</v>
      </c>
      <c r="C89" s="348" t="s">
        <v>347</v>
      </c>
      <c r="D89" s="421"/>
      <c r="E89" s="421"/>
      <c r="F89" s="421"/>
      <c r="G89" s="704"/>
      <c r="H89" s="327"/>
    </row>
    <row r="90" spans="1:8" ht="22.5">
      <c r="A90" s="345"/>
      <c r="B90" s="349" t="s">
        <v>471</v>
      </c>
      <c r="C90" s="348" t="s">
        <v>347</v>
      </c>
      <c r="D90" s="421"/>
      <c r="E90" s="421"/>
      <c r="F90" s="421"/>
      <c r="G90" s="704"/>
      <c r="H90" s="327"/>
    </row>
    <row r="91" spans="1:8" ht="15">
      <c r="A91" s="345"/>
      <c r="B91" s="349"/>
      <c r="C91" s="348"/>
      <c r="D91" s="421"/>
      <c r="E91" s="421"/>
      <c r="F91" s="421"/>
      <c r="G91" s="704"/>
      <c r="H91" s="327"/>
    </row>
    <row r="92" spans="1:8" ht="15">
      <c r="A92" s="345"/>
      <c r="B92" s="349"/>
      <c r="C92" s="348"/>
      <c r="D92" s="421"/>
      <c r="E92" s="421"/>
      <c r="F92" s="421"/>
      <c r="G92" s="704"/>
      <c r="H92" s="327"/>
    </row>
    <row r="93" spans="1:8" ht="15">
      <c r="A93" s="345"/>
      <c r="B93" s="349"/>
      <c r="C93" s="348"/>
      <c r="D93" s="421"/>
      <c r="E93" s="421"/>
      <c r="F93" s="421"/>
      <c r="G93" s="704"/>
      <c r="H93" s="327"/>
    </row>
    <row r="94" spans="1:8" ht="22.5">
      <c r="A94" s="345"/>
      <c r="B94" s="346" t="s">
        <v>542</v>
      </c>
      <c r="C94" s="131"/>
      <c r="D94" s="421"/>
      <c r="E94" s="421"/>
      <c r="F94" s="421">
        <v>37968.20472355932</v>
      </c>
      <c r="G94" s="704">
        <v>36584.43</v>
      </c>
      <c r="H94" s="327"/>
    </row>
    <row r="95" spans="1:8" ht="25.5" customHeight="1">
      <c r="A95" s="158" t="s">
        <v>105</v>
      </c>
      <c r="B95" s="159" t="s">
        <v>108</v>
      </c>
      <c r="C95" s="252" t="s">
        <v>347</v>
      </c>
      <c r="D95" s="253">
        <v>45058.61560999999</v>
      </c>
      <c r="E95" s="253">
        <v>48720.59915</v>
      </c>
      <c r="F95" s="253">
        <v>44423.81483999999</v>
      </c>
      <c r="G95" s="705">
        <v>36023.04</v>
      </c>
      <c r="H95" s="327"/>
    </row>
    <row r="96" spans="1:8" ht="21" customHeight="1">
      <c r="A96" s="158" t="s">
        <v>106</v>
      </c>
      <c r="B96" s="159" t="s">
        <v>109</v>
      </c>
      <c r="C96" s="252" t="s">
        <v>347</v>
      </c>
      <c r="D96" s="157">
        <v>887.26249</v>
      </c>
      <c r="E96" s="410">
        <v>1029.04316</v>
      </c>
      <c r="F96" s="530">
        <v>1437.92409</v>
      </c>
      <c r="G96" s="706"/>
      <c r="H96" s="327"/>
    </row>
    <row r="97" spans="1:8" ht="23.25" thickBot="1">
      <c r="A97" s="255" t="s">
        <v>107</v>
      </c>
      <c r="B97" s="256" t="s">
        <v>100</v>
      </c>
      <c r="C97" s="257" t="s">
        <v>347</v>
      </c>
      <c r="D97" s="254">
        <v>45945.878099999994</v>
      </c>
      <c r="E97" s="254">
        <v>49749.64231</v>
      </c>
      <c r="F97" s="254">
        <v>45861.73892999999</v>
      </c>
      <c r="G97" s="707"/>
      <c r="H97" s="327"/>
    </row>
    <row r="98" spans="1:8" ht="14.25">
      <c r="A98" s="212"/>
      <c r="B98" s="213"/>
      <c r="C98" s="213"/>
      <c r="D98" s="214"/>
      <c r="E98" s="214"/>
      <c r="F98" s="500"/>
      <c r="G98" s="500"/>
      <c r="H98" s="327"/>
    </row>
    <row r="99" spans="4:7" ht="14.25">
      <c r="D99" s="133"/>
      <c r="E99" s="133"/>
      <c r="F99" s="133"/>
      <c r="G99" s="133"/>
    </row>
  </sheetData>
  <sheetProtection/>
  <mergeCells count="3">
    <mergeCell ref="A12:C12"/>
    <mergeCell ref="A56:C56"/>
    <mergeCell ref="A84:C84"/>
  </mergeCells>
  <dataValidations count="1">
    <dataValidation type="decimal" allowBlank="1" showInputMessage="1" showErrorMessage="1" errorTitle="Внимание" error="Допускается ввод только действительных чисел!" sqref="D43:G43 D5:G10 D48:G48 D77:G77">
      <formula1>-999999999999999000000000</formula1>
      <formula2>9.99999999999999E+23</formula2>
    </dataValidation>
  </dataValidation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AF162"/>
  <sheetViews>
    <sheetView zoomScale="80" zoomScaleNormal="80" zoomScalePageLayoutView="0" workbookViewId="0" topLeftCell="O86">
      <selection activeCell="X135" sqref="X135"/>
    </sheetView>
  </sheetViews>
  <sheetFormatPr defaultColWidth="9.140625" defaultRowHeight="15" outlineLevelCol="1"/>
  <cols>
    <col min="1" max="1" width="3.140625" style="0" customWidth="1"/>
    <col min="2" max="3" width="8.7109375" style="0" customWidth="1" outlineLevel="1"/>
    <col min="4" max="4" width="11.28125" style="0" customWidth="1" outlineLevel="1"/>
    <col min="5" max="5" width="12.140625" style="0" customWidth="1" outlineLevel="1"/>
    <col min="6" max="6" width="8.8515625" style="0" customWidth="1" outlineLevel="1"/>
    <col min="7" max="7" width="11.7109375" style="0" customWidth="1" outlineLevel="1"/>
    <col min="8" max="8" width="10.28125" style="0" customWidth="1" outlineLevel="1"/>
    <col min="9" max="9" width="8.7109375" style="0" customWidth="1" outlineLevel="1"/>
    <col min="10" max="10" width="10.421875" style="0" customWidth="1" outlineLevel="1"/>
    <col min="11" max="11" width="8.7109375" style="0" customWidth="1" outlineLevel="1"/>
    <col min="12" max="12" width="10.8515625" style="0" customWidth="1" outlineLevel="1"/>
    <col min="13" max="13" width="12.28125" style="0" customWidth="1"/>
    <col min="14" max="14" width="10.8515625" style="0" customWidth="1"/>
    <col min="15" max="15" width="13.00390625" style="0" customWidth="1"/>
    <col min="16" max="16" width="12.7109375" style="0" customWidth="1"/>
    <col min="17" max="17" width="12.8515625" style="0" customWidth="1"/>
    <col min="18" max="18" width="12.7109375" style="0" customWidth="1"/>
    <col min="19" max="19" width="11.7109375" style="0" customWidth="1"/>
    <col min="20" max="20" width="14.140625" style="0" customWidth="1"/>
    <col min="21" max="21" width="13.28125" style="0" customWidth="1"/>
    <col min="22" max="22" width="13.140625" style="0" bestFit="1" customWidth="1"/>
    <col min="23" max="24" width="12.28125" style="0" customWidth="1"/>
    <col min="25" max="25" width="14.28125" style="0" customWidth="1"/>
    <col min="26" max="26" width="13.57421875" style="0" customWidth="1"/>
    <col min="27" max="27" width="16.00390625" style="0" customWidth="1"/>
    <col min="28" max="28" width="14.7109375" style="0" customWidth="1"/>
    <col min="29" max="29" width="10.7109375" style="0" customWidth="1"/>
    <col min="30" max="30" width="11.57421875" style="0" customWidth="1"/>
    <col min="31" max="31" width="12.28125" style="0" customWidth="1"/>
    <col min="32" max="32" width="11.28125" style="0" customWidth="1"/>
  </cols>
  <sheetData>
    <row r="2" spans="2:5" ht="15">
      <c r="B2" t="s">
        <v>287</v>
      </c>
      <c r="C2" s="32">
        <v>22.8</v>
      </c>
      <c r="D2" s="33" t="s">
        <v>271</v>
      </c>
      <c r="E2" t="s">
        <v>465</v>
      </c>
    </row>
    <row r="3" spans="2:5" ht="15">
      <c r="B3" t="s">
        <v>288</v>
      </c>
      <c r="C3" s="32">
        <v>22.7</v>
      </c>
      <c r="D3" s="33" t="s">
        <v>271</v>
      </c>
      <c r="E3" t="s">
        <v>466</v>
      </c>
    </row>
    <row r="4" spans="2:5" ht="15">
      <c r="B4" t="s">
        <v>289</v>
      </c>
      <c r="C4" s="32">
        <v>0.32</v>
      </c>
      <c r="D4" s="33" t="s">
        <v>271</v>
      </c>
      <c r="E4" t="s">
        <v>467</v>
      </c>
    </row>
    <row r="5" spans="2:5" ht="15">
      <c r="B5" t="s">
        <v>290</v>
      </c>
      <c r="C5" s="32">
        <v>0.32</v>
      </c>
      <c r="D5" s="33" t="s">
        <v>271</v>
      </c>
      <c r="E5" t="s">
        <v>468</v>
      </c>
    </row>
    <row r="6" spans="2:5" ht="15">
      <c r="B6" t="s">
        <v>154</v>
      </c>
      <c r="C6">
        <v>1.24</v>
      </c>
      <c r="D6" s="33" t="s">
        <v>271</v>
      </c>
      <c r="E6" t="s">
        <v>469</v>
      </c>
    </row>
    <row r="7" spans="2:4" ht="15">
      <c r="B7" t="s">
        <v>155</v>
      </c>
      <c r="C7">
        <v>1.24</v>
      </c>
      <c r="D7" s="33" t="s">
        <v>271</v>
      </c>
    </row>
    <row r="8" spans="12:19" ht="21">
      <c r="L8" s="632" t="s">
        <v>163</v>
      </c>
      <c r="M8" s="632"/>
      <c r="N8" s="632"/>
      <c r="O8" s="632"/>
      <c r="P8" s="632"/>
      <c r="S8">
        <v>2014</v>
      </c>
    </row>
    <row r="9" spans="2:21" ht="14.25" customHeight="1">
      <c r="B9" s="636" t="s">
        <v>142</v>
      </c>
      <c r="C9" s="636"/>
      <c r="D9" s="636"/>
      <c r="E9" s="636"/>
      <c r="F9" s="636"/>
      <c r="G9" s="20"/>
      <c r="H9" s="76" t="s">
        <v>148</v>
      </c>
      <c r="I9" s="76"/>
      <c r="J9" s="76"/>
      <c r="K9" s="76"/>
      <c r="L9" s="76"/>
      <c r="N9" s="78" t="s">
        <v>149</v>
      </c>
      <c r="O9" s="78" t="s">
        <v>150</v>
      </c>
      <c r="P9" s="78" t="s">
        <v>143</v>
      </c>
      <c r="Q9" s="78" t="s">
        <v>151</v>
      </c>
      <c r="R9" s="78" t="s">
        <v>152</v>
      </c>
      <c r="S9" s="78" t="s">
        <v>146</v>
      </c>
      <c r="T9" s="78" t="s">
        <v>153</v>
      </c>
      <c r="U9" s="78" t="s">
        <v>147</v>
      </c>
    </row>
    <row r="10" spans="2:29" ht="45">
      <c r="B10" s="20" t="s">
        <v>265</v>
      </c>
      <c r="C10" s="20" t="s">
        <v>266</v>
      </c>
      <c r="D10" s="20" t="s">
        <v>267</v>
      </c>
      <c r="E10" s="20" t="s">
        <v>268</v>
      </c>
      <c r="F10" s="20" t="s">
        <v>102</v>
      </c>
      <c r="G10" s="20"/>
      <c r="H10" s="20" t="s">
        <v>143</v>
      </c>
      <c r="I10" s="20" t="s">
        <v>144</v>
      </c>
      <c r="J10" s="20" t="s">
        <v>146</v>
      </c>
      <c r="K10" s="20" t="s">
        <v>145</v>
      </c>
      <c r="L10" s="20" t="s">
        <v>147</v>
      </c>
      <c r="AC10" s="42"/>
    </row>
    <row r="11" spans="2:29" ht="15">
      <c r="B11" t="s">
        <v>348</v>
      </c>
      <c r="C11" t="s">
        <v>348</v>
      </c>
      <c r="D11" t="s">
        <v>348</v>
      </c>
      <c r="E11" t="s">
        <v>348</v>
      </c>
      <c r="F11" t="s">
        <v>348</v>
      </c>
      <c r="V11" s="34" t="s">
        <v>345</v>
      </c>
      <c r="W11" s="35"/>
      <c r="X11" s="37"/>
      <c r="Y11" s="83" t="s">
        <v>168</v>
      </c>
      <c r="Z11" s="83" t="s">
        <v>160</v>
      </c>
      <c r="AA11" t="s">
        <v>170</v>
      </c>
      <c r="AC11" s="42"/>
    </row>
    <row r="12" spans="2:29" ht="15">
      <c r="B12" s="28">
        <v>49552.27875000005</v>
      </c>
      <c r="C12" s="28">
        <v>117848.45949996267</v>
      </c>
      <c r="D12" s="28">
        <v>9910455.75000001</v>
      </c>
      <c r="E12" s="28">
        <v>9771329.675000047</v>
      </c>
      <c r="F12" s="28">
        <v>21277.61550000003</v>
      </c>
      <c r="G12" s="28"/>
      <c r="H12" s="75">
        <v>101495.93218779161</v>
      </c>
      <c r="I12" s="75">
        <v>2480.9321877916022</v>
      </c>
      <c r="J12" s="75">
        <v>99015</v>
      </c>
      <c r="K12" s="28">
        <v>552.4178526838103</v>
      </c>
      <c r="L12" s="28">
        <v>98462.58214731618</v>
      </c>
      <c r="M12" s="30"/>
      <c r="N12" s="81">
        <f>B12+D12</f>
        <v>9960008.02875001</v>
      </c>
      <c r="O12" s="81">
        <f>B12</f>
        <v>49552.27875000005</v>
      </c>
      <c r="P12" s="81">
        <f>D12+H12</f>
        <v>10011951.682187801</v>
      </c>
      <c r="Q12" s="82">
        <f>C12+F12+I12</f>
        <v>141607.0071877543</v>
      </c>
      <c r="R12" s="82">
        <f aca="true" t="shared" si="0" ref="R12:R23">E12</f>
        <v>9771329.675000047</v>
      </c>
      <c r="S12" s="82">
        <f aca="true" t="shared" si="1" ref="S12:S23">J12</f>
        <v>99015</v>
      </c>
      <c r="T12" s="82">
        <f aca="true" t="shared" si="2" ref="T12:T23">K12</f>
        <v>552.4178526838103</v>
      </c>
      <c r="U12" s="82">
        <f aca="true" t="shared" si="3" ref="U12:U23">L12</f>
        <v>98462.58214731618</v>
      </c>
      <c r="V12" s="34">
        <v>110</v>
      </c>
      <c r="W12" s="34">
        <f>Y12+Z12</f>
        <v>379291.997731569</v>
      </c>
      <c r="X12" s="37" t="s">
        <v>5</v>
      </c>
      <c r="Y12" s="83">
        <v>379291.997731569</v>
      </c>
      <c r="Z12" s="83"/>
      <c r="AC12" s="42">
        <v>15190</v>
      </c>
    </row>
    <row r="13" spans="2:29" ht="15">
      <c r="B13" s="28">
        <v>40908.480000000054</v>
      </c>
      <c r="C13" s="28">
        <v>72753.5470000077</v>
      </c>
      <c r="D13" s="28">
        <v>8181696.00000001</v>
      </c>
      <c r="E13" s="28">
        <v>8089266.050000003</v>
      </c>
      <c r="F13" s="28">
        <v>19676.403000000002</v>
      </c>
      <c r="G13" s="28"/>
      <c r="H13" s="75">
        <v>108303.70000509525</v>
      </c>
      <c r="I13" s="75">
        <v>2358.700005095251</v>
      </c>
      <c r="J13" s="75">
        <v>105945</v>
      </c>
      <c r="K13" s="28">
        <v>699.8280792024185</v>
      </c>
      <c r="L13" s="28">
        <v>105245.17192079757</v>
      </c>
      <c r="M13" s="30"/>
      <c r="N13" s="81">
        <f aca="true" t="shared" si="4" ref="N13:N23">B13+D13</f>
        <v>8222604.480000011</v>
      </c>
      <c r="O13" s="81">
        <f aca="true" t="shared" si="5" ref="O13:O23">B13</f>
        <v>40908.480000000054</v>
      </c>
      <c r="P13" s="81">
        <f aca="true" t="shared" si="6" ref="P13:P23">D13+H13</f>
        <v>8289999.700005106</v>
      </c>
      <c r="Q13" s="82">
        <f aca="true" t="shared" si="7" ref="Q13:Q23">C13+F13+I13</f>
        <v>94788.65000510296</v>
      </c>
      <c r="R13" s="82">
        <f t="shared" si="0"/>
        <v>8089266.050000003</v>
      </c>
      <c r="S13" s="82">
        <f t="shared" si="1"/>
        <v>105945</v>
      </c>
      <c r="T13" s="82">
        <f t="shared" si="2"/>
        <v>699.8280792024185</v>
      </c>
      <c r="U13" s="82">
        <f t="shared" si="3"/>
        <v>105245.17192079757</v>
      </c>
      <c r="V13" s="34">
        <v>10</v>
      </c>
      <c r="W13" s="34">
        <f aca="true" t="shared" si="8" ref="W13:W22">Y13+Z13</f>
        <v>193415.69061523798</v>
      </c>
      <c r="X13" s="37" t="s">
        <v>5</v>
      </c>
      <c r="Y13" s="83">
        <v>177218.4225880271</v>
      </c>
      <c r="Z13" s="83">
        <v>16197.268027210885</v>
      </c>
      <c r="AC13" s="42">
        <v>13115</v>
      </c>
    </row>
    <row r="14" spans="2:29" ht="15">
      <c r="B14" s="28">
        <v>42736.24124999983</v>
      </c>
      <c r="C14" s="28">
        <v>66048.1449999772</v>
      </c>
      <c r="D14" s="28">
        <v>8547248.249999966</v>
      </c>
      <c r="E14" s="28">
        <v>8460376.17499999</v>
      </c>
      <c r="F14" s="28">
        <v>20823.93</v>
      </c>
      <c r="G14" s="28"/>
      <c r="H14" s="75">
        <v>193402.6846073962</v>
      </c>
      <c r="I14" s="75">
        <v>3429.684607396183</v>
      </c>
      <c r="J14" s="75">
        <v>189973</v>
      </c>
      <c r="K14" s="28">
        <v>3210.4603566330375</v>
      </c>
      <c r="L14" s="28">
        <v>186762.53964336697</v>
      </c>
      <c r="M14" s="30"/>
      <c r="N14" s="81">
        <f t="shared" si="4"/>
        <v>8589984.491249966</v>
      </c>
      <c r="O14" s="81">
        <f t="shared" si="5"/>
        <v>42736.24124999983</v>
      </c>
      <c r="P14" s="81">
        <f t="shared" si="6"/>
        <v>8740650.934607362</v>
      </c>
      <c r="Q14" s="82">
        <f t="shared" si="7"/>
        <v>90301.75960737337</v>
      </c>
      <c r="R14" s="82">
        <f t="shared" si="0"/>
        <v>8460376.17499999</v>
      </c>
      <c r="S14" s="82">
        <f t="shared" si="1"/>
        <v>189973</v>
      </c>
      <c r="T14" s="82">
        <f t="shared" si="2"/>
        <v>3210.4603566330375</v>
      </c>
      <c r="U14" s="82">
        <f t="shared" si="3"/>
        <v>186762.53964336697</v>
      </c>
      <c r="V14" s="79">
        <v>0.4</v>
      </c>
      <c r="W14" s="34">
        <f t="shared" si="8"/>
        <v>0</v>
      </c>
      <c r="X14" s="37" t="s">
        <v>5</v>
      </c>
      <c r="Y14" s="83"/>
      <c r="Z14" s="83"/>
      <c r="AC14" s="42">
        <v>12307</v>
      </c>
    </row>
    <row r="15" spans="2:29" ht="15">
      <c r="B15" s="28">
        <v>35637.37500000014</v>
      </c>
      <c r="C15" s="28">
        <v>20649.63100000657</v>
      </c>
      <c r="D15" s="28">
        <v>7127475.000000027</v>
      </c>
      <c r="E15" s="28">
        <v>7095149.900000021</v>
      </c>
      <c r="F15" s="28">
        <v>11675.46899999999</v>
      </c>
      <c r="G15" s="28"/>
      <c r="H15" s="75">
        <v>308066.3405509017</v>
      </c>
      <c r="I15" s="75">
        <v>5223.340550901691</v>
      </c>
      <c r="J15" s="75">
        <v>302843</v>
      </c>
      <c r="K15" s="28">
        <v>10595.027056382252</v>
      </c>
      <c r="L15" s="28">
        <v>292247.9729436178</v>
      </c>
      <c r="M15" s="30"/>
      <c r="N15" s="81">
        <f t="shared" si="4"/>
        <v>7163112.375000027</v>
      </c>
      <c r="O15" s="81">
        <f t="shared" si="5"/>
        <v>35637.37500000014</v>
      </c>
      <c r="P15" s="81">
        <f t="shared" si="6"/>
        <v>7435541.340550928</v>
      </c>
      <c r="Q15" s="82">
        <f t="shared" si="7"/>
        <v>37548.44055090825</v>
      </c>
      <c r="R15" s="82">
        <f t="shared" si="0"/>
        <v>7095149.900000021</v>
      </c>
      <c r="S15" s="82">
        <f t="shared" si="1"/>
        <v>302843</v>
      </c>
      <c r="T15" s="82">
        <f t="shared" si="2"/>
        <v>10595.027056382252</v>
      </c>
      <c r="U15" s="82">
        <f t="shared" si="3"/>
        <v>292247.9729436178</v>
      </c>
      <c r="V15" s="34" t="s">
        <v>346</v>
      </c>
      <c r="W15" s="34"/>
      <c r="X15" s="37"/>
      <c r="Y15" s="83"/>
      <c r="Z15" s="83"/>
      <c r="AC15" s="42">
        <v>10561</v>
      </c>
    </row>
    <row r="16" spans="2:29" ht="15">
      <c r="B16" s="28">
        <v>29219.700000000106</v>
      </c>
      <c r="C16" s="28">
        <v>-3201.7329999664807</v>
      </c>
      <c r="D16" s="28">
        <v>5843940.0000000205</v>
      </c>
      <c r="E16" s="28">
        <v>5843007.474999987</v>
      </c>
      <c r="F16" s="28">
        <v>4134.258000000013</v>
      </c>
      <c r="G16" s="28"/>
      <c r="H16" s="75">
        <v>247382.6043593384</v>
      </c>
      <c r="I16" s="75">
        <v>4348.604359338407</v>
      </c>
      <c r="J16" s="75">
        <v>243034</v>
      </c>
      <c r="K16" s="28">
        <v>6530.086398344493</v>
      </c>
      <c r="L16" s="28">
        <v>236503.9136016555</v>
      </c>
      <c r="M16" s="30"/>
      <c r="N16" s="81">
        <f t="shared" si="4"/>
        <v>5873159.700000021</v>
      </c>
      <c r="O16" s="81">
        <f t="shared" si="5"/>
        <v>29219.700000000106</v>
      </c>
      <c r="P16" s="81">
        <f t="shared" si="6"/>
        <v>6091322.604359359</v>
      </c>
      <c r="Q16" s="82">
        <f t="shared" si="7"/>
        <v>5281.12935937194</v>
      </c>
      <c r="R16" s="82">
        <f t="shared" si="0"/>
        <v>5843007.474999987</v>
      </c>
      <c r="S16" s="82">
        <f t="shared" si="1"/>
        <v>243034</v>
      </c>
      <c r="T16" s="82">
        <f t="shared" si="2"/>
        <v>6530.086398344493</v>
      </c>
      <c r="U16" s="82">
        <f t="shared" si="3"/>
        <v>236503.9136016555</v>
      </c>
      <c r="V16" s="34">
        <v>110</v>
      </c>
      <c r="W16" s="34">
        <f t="shared" si="8"/>
        <v>49460.88781122787</v>
      </c>
      <c r="X16" s="37" t="s">
        <v>5</v>
      </c>
      <c r="Y16" s="83">
        <v>49460.88781122787</v>
      </c>
      <c r="Z16" s="83"/>
      <c r="AA16">
        <f>W16/N24*100</f>
        <v>0.05936222943634177</v>
      </c>
      <c r="AC16" s="42">
        <v>8297</v>
      </c>
    </row>
    <row r="17" spans="2:29" ht="15">
      <c r="B17" s="28">
        <v>23845.12500000003</v>
      </c>
      <c r="C17" s="28">
        <v>43453.63700000569</v>
      </c>
      <c r="D17" s="28">
        <v>4769025.000000006</v>
      </c>
      <c r="E17" s="28">
        <v>4723101.475</v>
      </c>
      <c r="F17" s="28">
        <v>2469.8879999999735</v>
      </c>
      <c r="G17" s="28"/>
      <c r="H17" s="75">
        <v>159427.50237941643</v>
      </c>
      <c r="I17" s="75">
        <v>2913.502379416447</v>
      </c>
      <c r="J17" s="75">
        <v>156514</v>
      </c>
      <c r="K17" s="28">
        <v>1892.8506191770662</v>
      </c>
      <c r="L17" s="28">
        <v>154621.14938082293</v>
      </c>
      <c r="M17" s="30"/>
      <c r="N17" s="81">
        <f t="shared" si="4"/>
        <v>4792870.125000006</v>
      </c>
      <c r="O17" s="81">
        <f t="shared" si="5"/>
        <v>23845.12500000003</v>
      </c>
      <c r="P17" s="81">
        <f t="shared" si="6"/>
        <v>4928452.502379422</v>
      </c>
      <c r="Q17" s="82">
        <f t="shared" si="7"/>
        <v>48837.027379422114</v>
      </c>
      <c r="R17" s="82">
        <f t="shared" si="0"/>
        <v>4723101.475</v>
      </c>
      <c r="S17" s="82">
        <f t="shared" si="1"/>
        <v>156514</v>
      </c>
      <c r="T17" s="82">
        <f t="shared" si="2"/>
        <v>1892.8506191770662</v>
      </c>
      <c r="U17" s="82">
        <f t="shared" si="3"/>
        <v>154621.14938082293</v>
      </c>
      <c r="V17" s="34">
        <v>10</v>
      </c>
      <c r="W17" s="34">
        <f t="shared" si="8"/>
        <v>3697.486055820463</v>
      </c>
      <c r="X17" s="37" t="s">
        <v>5</v>
      </c>
      <c r="Y17" s="83">
        <v>119.21038244693304</v>
      </c>
      <c r="Z17" s="83">
        <v>3578.27567337353</v>
      </c>
      <c r="AA17">
        <f>W17/P24*100</f>
        <v>0.004365883569917697</v>
      </c>
      <c r="AC17" s="42">
        <v>7370</v>
      </c>
    </row>
    <row r="18" spans="2:29" ht="15">
      <c r="B18" s="28">
        <v>21037.488749999877</v>
      </c>
      <c r="C18" s="28">
        <v>71890.5109999697</v>
      </c>
      <c r="D18" s="28">
        <v>4207497.749999975</v>
      </c>
      <c r="E18" s="28">
        <v>4133038.9750000047</v>
      </c>
      <c r="F18" s="28">
        <v>2568.263999999999</v>
      </c>
      <c r="G18" s="28"/>
      <c r="H18" s="75">
        <v>3541.7420502782384</v>
      </c>
      <c r="I18" s="75">
        <v>1462.7420502782386</v>
      </c>
      <c r="J18" s="75">
        <v>2079</v>
      </c>
      <c r="K18" s="28">
        <v>686.358305053144</v>
      </c>
      <c r="L18" s="28">
        <v>1392.641694946856</v>
      </c>
      <c r="M18" s="30"/>
      <c r="N18" s="81">
        <f t="shared" si="4"/>
        <v>4228535.238749974</v>
      </c>
      <c r="O18" s="81">
        <f t="shared" si="5"/>
        <v>21037.488749999877</v>
      </c>
      <c r="P18" s="81">
        <f t="shared" si="6"/>
        <v>4211039.492050253</v>
      </c>
      <c r="Q18" s="82">
        <f t="shared" si="7"/>
        <v>75921.51705024793</v>
      </c>
      <c r="R18" s="82">
        <f t="shared" si="0"/>
        <v>4133038.9750000047</v>
      </c>
      <c r="S18" s="82">
        <f t="shared" si="1"/>
        <v>2079</v>
      </c>
      <c r="T18" s="82">
        <f t="shared" si="2"/>
        <v>686.358305053144</v>
      </c>
      <c r="U18" s="82">
        <f t="shared" si="3"/>
        <v>1392.641694946856</v>
      </c>
      <c r="V18" s="79">
        <v>0.4</v>
      </c>
      <c r="W18" s="34">
        <f t="shared" si="8"/>
        <v>29933.5468199732</v>
      </c>
      <c r="X18" s="37" t="s">
        <v>5</v>
      </c>
      <c r="Y18" s="83"/>
      <c r="Z18" s="83">
        <v>29933.5468199732</v>
      </c>
      <c r="AA18">
        <f>W18/AA21/1000</f>
        <v>14.745589566489262</v>
      </c>
      <c r="AC18" s="42">
        <v>6451</v>
      </c>
    </row>
    <row r="19" spans="2:29" ht="15">
      <c r="B19" s="28">
        <v>22078.27124999999</v>
      </c>
      <c r="C19" s="28">
        <v>79548.84650000559</v>
      </c>
      <c r="D19" s="28">
        <v>4415654.25</v>
      </c>
      <c r="E19" s="28">
        <v>4333525.224999991</v>
      </c>
      <c r="F19" s="28">
        <v>2580.1784999999654</v>
      </c>
      <c r="G19" s="28"/>
      <c r="H19" s="75">
        <v>93479.45127095105</v>
      </c>
      <c r="I19" s="75">
        <v>2451.451270951053</v>
      </c>
      <c r="J19" s="75">
        <v>91028</v>
      </c>
      <c r="K19" s="28">
        <v>559.7986540124352</v>
      </c>
      <c r="L19" s="28">
        <v>90468.20134598756</v>
      </c>
      <c r="M19" s="30"/>
      <c r="N19" s="81">
        <f t="shared" si="4"/>
        <v>4437732.52125</v>
      </c>
      <c r="O19" s="81">
        <f t="shared" si="5"/>
        <v>22078.27124999999</v>
      </c>
      <c r="P19" s="81">
        <f t="shared" si="6"/>
        <v>4509133.701270951</v>
      </c>
      <c r="Q19" s="82">
        <f t="shared" si="7"/>
        <v>84580.47627095661</v>
      </c>
      <c r="R19" s="82">
        <f t="shared" si="0"/>
        <v>4333525.224999991</v>
      </c>
      <c r="S19" s="82">
        <f t="shared" si="1"/>
        <v>91028</v>
      </c>
      <c r="T19" s="82">
        <f t="shared" si="2"/>
        <v>559.7986540124352</v>
      </c>
      <c r="U19" s="82">
        <f t="shared" si="3"/>
        <v>90468.20134598756</v>
      </c>
      <c r="V19" s="34" t="s">
        <v>344</v>
      </c>
      <c r="W19" s="34"/>
      <c r="X19" s="37"/>
      <c r="Y19" s="83"/>
      <c r="Z19" s="83"/>
      <c r="AC19" s="42">
        <v>6778</v>
      </c>
    </row>
    <row r="20" spans="2:29" ht="15">
      <c r="B20" s="28">
        <v>25300</v>
      </c>
      <c r="C20" s="28">
        <v>14743.700000004843</v>
      </c>
      <c r="D20" s="28">
        <v>5059994.250000013</v>
      </c>
      <c r="E20" s="28">
        <v>5040793.550000008</v>
      </c>
      <c r="F20" s="28">
        <v>4457</v>
      </c>
      <c r="G20" s="28"/>
      <c r="H20" s="75">
        <v>112235.10334341404</v>
      </c>
      <c r="I20" s="75">
        <v>2702.1033434140495</v>
      </c>
      <c r="J20" s="75">
        <v>109533</v>
      </c>
      <c r="K20" s="28">
        <v>884.6875615286084</v>
      </c>
      <c r="L20" s="28">
        <v>108648.31243847139</v>
      </c>
      <c r="M20" s="30"/>
      <c r="N20" s="81">
        <f t="shared" si="4"/>
        <v>5085294.250000013</v>
      </c>
      <c r="O20" s="81">
        <f t="shared" si="5"/>
        <v>25300</v>
      </c>
      <c r="P20" s="81">
        <f t="shared" si="6"/>
        <v>5172229.353343427</v>
      </c>
      <c r="Q20" s="82">
        <f t="shared" si="7"/>
        <v>21902.80334341889</v>
      </c>
      <c r="R20" s="82">
        <f t="shared" si="0"/>
        <v>5040793.550000008</v>
      </c>
      <c r="S20" s="82">
        <f t="shared" si="1"/>
        <v>109533</v>
      </c>
      <c r="T20" s="82">
        <f t="shared" si="2"/>
        <v>884.6875615286084</v>
      </c>
      <c r="U20" s="82">
        <f t="shared" si="3"/>
        <v>108648.31243847139</v>
      </c>
      <c r="V20" s="34">
        <v>110</v>
      </c>
      <c r="W20" s="34">
        <f t="shared" si="8"/>
        <v>-14223.161792796818</v>
      </c>
      <c r="X20" s="37" t="s">
        <v>5</v>
      </c>
      <c r="Y20" s="83">
        <v>-14223.161792796818</v>
      </c>
      <c r="Z20" s="83"/>
      <c r="AA20" t="s">
        <v>171</v>
      </c>
      <c r="AC20" s="42">
        <v>8118</v>
      </c>
    </row>
    <row r="21" spans="2:29" ht="15">
      <c r="B21" s="28">
        <v>36566.287499999955</v>
      </c>
      <c r="C21" s="28">
        <v>103158.23549998275</v>
      </c>
      <c r="D21" s="28">
        <v>7313257.499999991</v>
      </c>
      <c r="E21" s="28">
        <v>7195510.875000008</v>
      </c>
      <c r="F21" s="28">
        <v>14588.389500000012</v>
      </c>
      <c r="G21" s="28"/>
      <c r="H21" s="75">
        <v>181897.56760383354</v>
      </c>
      <c r="I21" s="75">
        <v>3340.5676038335396</v>
      </c>
      <c r="J21" s="75">
        <v>178557</v>
      </c>
      <c r="K21" s="28">
        <v>1885.928777138701</v>
      </c>
      <c r="L21" s="28">
        <v>176671.07122286133</v>
      </c>
      <c r="M21" s="30"/>
      <c r="N21" s="81">
        <f t="shared" si="4"/>
        <v>7349823.78749999</v>
      </c>
      <c r="O21" s="81">
        <f t="shared" si="5"/>
        <v>36566.287499999955</v>
      </c>
      <c r="P21" s="81">
        <f t="shared" si="6"/>
        <v>7495155.067603825</v>
      </c>
      <c r="Q21" s="82">
        <f t="shared" si="7"/>
        <v>121087.19260381631</v>
      </c>
      <c r="R21" s="82">
        <f t="shared" si="0"/>
        <v>7195510.875000008</v>
      </c>
      <c r="S21" s="82">
        <f t="shared" si="1"/>
        <v>178557</v>
      </c>
      <c r="T21" s="82">
        <f t="shared" si="2"/>
        <v>1885.928777138701</v>
      </c>
      <c r="U21" s="82">
        <f t="shared" si="3"/>
        <v>176671.07122286133</v>
      </c>
      <c r="V21" s="34">
        <v>10</v>
      </c>
      <c r="W21" s="34">
        <f t="shared" si="8"/>
        <v>496050.95661577675</v>
      </c>
      <c r="X21" s="37" t="s">
        <v>5</v>
      </c>
      <c r="Y21" s="83">
        <v>479008.34202950133</v>
      </c>
      <c r="Z21" s="83">
        <f>I24-Z13-Z17</f>
        <v>17042.614586275427</v>
      </c>
      <c r="AA21">
        <v>2.03</v>
      </c>
      <c r="AC21" s="42">
        <v>11161</v>
      </c>
    </row>
    <row r="22" spans="2:29" ht="15">
      <c r="B22" s="28">
        <v>41573.08875000001</v>
      </c>
      <c r="C22" s="28">
        <v>-48894.03549999929</v>
      </c>
      <c r="D22" s="28">
        <v>8314617.750000002</v>
      </c>
      <c r="E22" s="28">
        <v>8344088.575000001</v>
      </c>
      <c r="F22" s="28">
        <v>19423.210499999914</v>
      </c>
      <c r="G22" s="28"/>
      <c r="H22" s="75">
        <v>111926.00632710577</v>
      </c>
      <c r="I22" s="75">
        <v>2867.006327105766</v>
      </c>
      <c r="J22" s="75">
        <v>109059</v>
      </c>
      <c r="K22" s="28">
        <v>962.7305391183219</v>
      </c>
      <c r="L22" s="28">
        <v>108096.26946088168</v>
      </c>
      <c r="M22" s="30"/>
      <c r="N22" s="81">
        <f t="shared" si="4"/>
        <v>8356190.838750002</v>
      </c>
      <c r="O22" s="81">
        <f t="shared" si="5"/>
        <v>41573.08875000001</v>
      </c>
      <c r="P22" s="81">
        <f t="shared" si="6"/>
        <v>8426543.756327108</v>
      </c>
      <c r="Q22" s="82">
        <f t="shared" si="7"/>
        <v>-26603.818672893613</v>
      </c>
      <c r="R22" s="82">
        <f t="shared" si="0"/>
        <v>8344088.575000001</v>
      </c>
      <c r="S22" s="82">
        <f t="shared" si="1"/>
        <v>109059</v>
      </c>
      <c r="T22" s="82">
        <f t="shared" si="2"/>
        <v>962.7305391183219</v>
      </c>
      <c r="U22" s="82">
        <f t="shared" si="3"/>
        <v>108096.26946088168</v>
      </c>
      <c r="V22" s="79">
        <v>0.4</v>
      </c>
      <c r="W22" s="34">
        <f t="shared" si="8"/>
        <v>0</v>
      </c>
      <c r="X22" s="37" t="s">
        <v>5</v>
      </c>
      <c r="Y22" s="83"/>
      <c r="Z22" s="83"/>
      <c r="AC22" s="42">
        <v>12753</v>
      </c>
    </row>
    <row r="23" spans="2:29" ht="15">
      <c r="B23" s="28">
        <v>46075.387500000055</v>
      </c>
      <c r="C23" s="28">
        <v>-24844.54599998146</v>
      </c>
      <c r="D23" s="28">
        <v>9215077.500000011</v>
      </c>
      <c r="E23" s="28">
        <v>9220405.074999992</v>
      </c>
      <c r="F23" s="28">
        <v>19516.970999999976</v>
      </c>
      <c r="G23" s="28"/>
      <c r="H23" s="75">
        <v>163343.52360133763</v>
      </c>
      <c r="I23" s="75">
        <v>3239.5236013376207</v>
      </c>
      <c r="J23" s="75">
        <v>160104</v>
      </c>
      <c r="K23" s="28">
        <v>1473.3726206988915</v>
      </c>
      <c r="L23" s="28">
        <v>158630.62737930115</v>
      </c>
      <c r="M23" s="30"/>
      <c r="N23" s="81">
        <f t="shared" si="4"/>
        <v>9261152.88750001</v>
      </c>
      <c r="O23" s="81">
        <f t="shared" si="5"/>
        <v>46075.387500000055</v>
      </c>
      <c r="P23" s="81">
        <f t="shared" si="6"/>
        <v>9378421.02360135</v>
      </c>
      <c r="Q23" s="82">
        <f t="shared" si="7"/>
        <v>-2088.0513986438627</v>
      </c>
      <c r="R23" s="82">
        <f t="shared" si="0"/>
        <v>9220405.074999992</v>
      </c>
      <c r="S23" s="82">
        <f t="shared" si="1"/>
        <v>160104</v>
      </c>
      <c r="T23" s="82">
        <f t="shared" si="2"/>
        <v>1473.3726206988915</v>
      </c>
      <c r="U23" s="82">
        <f t="shared" si="3"/>
        <v>158630.62737930115</v>
      </c>
      <c r="V23" s="40" t="s">
        <v>220</v>
      </c>
      <c r="W23" s="41">
        <v>14.3193</v>
      </c>
      <c r="X23" s="40" t="s">
        <v>4</v>
      </c>
      <c r="AC23" s="42">
        <v>13678</v>
      </c>
    </row>
    <row r="24" spans="2:29" ht="15">
      <c r="B24" s="77">
        <f>SUM(B12:B23)</f>
        <v>414529.7237500001</v>
      </c>
      <c r="C24" s="77">
        <f aca="true" t="shared" si="9" ref="C24:L24">SUM(C12:C23)</f>
        <v>513154.3979999755</v>
      </c>
      <c r="D24" s="77">
        <f t="shared" si="9"/>
        <v>82905939.00000004</v>
      </c>
      <c r="E24" s="77">
        <f t="shared" si="9"/>
        <v>82249593.02500005</v>
      </c>
      <c r="F24" s="77">
        <f t="shared" si="9"/>
        <v>143191.57699999987</v>
      </c>
      <c r="G24" s="77"/>
      <c r="H24" s="77">
        <f t="shared" si="9"/>
        <v>1784502.1582868597</v>
      </c>
      <c r="I24" s="77">
        <f t="shared" si="9"/>
        <v>36818.15828685984</v>
      </c>
      <c r="J24" s="77">
        <f t="shared" si="9"/>
        <v>1747684</v>
      </c>
      <c r="K24" s="77">
        <f t="shared" si="9"/>
        <v>29933.54681997318</v>
      </c>
      <c r="L24" s="77">
        <f t="shared" si="9"/>
        <v>1717750.453180027</v>
      </c>
      <c r="M24" s="77"/>
      <c r="N24" s="77">
        <f aca="true" t="shared" si="10" ref="N24:U24">SUM(N12:N23)</f>
        <v>83320468.72375003</v>
      </c>
      <c r="O24" s="77">
        <f t="shared" si="10"/>
        <v>414529.7237500001</v>
      </c>
      <c r="P24" s="77">
        <f t="shared" si="10"/>
        <v>84690441.1582869</v>
      </c>
      <c r="Q24" s="77">
        <f t="shared" si="10"/>
        <v>693164.1332868352</v>
      </c>
      <c r="R24" s="77">
        <f t="shared" si="10"/>
        <v>82249593.02500005</v>
      </c>
      <c r="S24" s="77">
        <f t="shared" si="10"/>
        <v>1747684</v>
      </c>
      <c r="T24" s="77">
        <f t="shared" si="10"/>
        <v>29933.54681997318</v>
      </c>
      <c r="U24" s="77">
        <f t="shared" si="10"/>
        <v>1717750.453180027</v>
      </c>
      <c r="V24" t="s">
        <v>158</v>
      </c>
      <c r="W24" s="80">
        <v>0.99</v>
      </c>
      <c r="AC24" s="185">
        <f>AVERAGE(AC12:AC23)</f>
        <v>10481.583333333334</v>
      </c>
    </row>
    <row r="25" ht="15">
      <c r="AC25" s="42"/>
    </row>
    <row r="26" spans="2:29" ht="14.25" customHeight="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633" t="s">
        <v>164</v>
      </c>
      <c r="M26" s="633"/>
      <c r="N26" s="633"/>
      <c r="O26" s="633"/>
      <c r="S26">
        <v>2015</v>
      </c>
      <c r="AC26" s="42"/>
    </row>
    <row r="27" spans="2:29" ht="14.25" customHeight="1">
      <c r="B27" s="636" t="s">
        <v>156</v>
      </c>
      <c r="C27" s="636"/>
      <c r="D27" s="636"/>
      <c r="E27" s="636"/>
      <c r="F27" s="636"/>
      <c r="G27" s="20"/>
      <c r="H27" s="76" t="s">
        <v>157</v>
      </c>
      <c r="I27" s="76"/>
      <c r="J27" s="76"/>
      <c r="K27" s="76"/>
      <c r="L27" s="76"/>
      <c r="N27" s="78" t="s">
        <v>149</v>
      </c>
      <c r="O27" s="78" t="s">
        <v>150</v>
      </c>
      <c r="P27" s="78" t="s">
        <v>143</v>
      </c>
      <c r="Q27" s="78" t="s">
        <v>151</v>
      </c>
      <c r="R27" s="78" t="s">
        <v>152</v>
      </c>
      <c r="S27" s="78" t="s">
        <v>146</v>
      </c>
      <c r="T27" s="78" t="s">
        <v>153</v>
      </c>
      <c r="U27" s="78" t="s">
        <v>147</v>
      </c>
      <c r="AC27" s="42"/>
    </row>
    <row r="28" spans="2:29" ht="45">
      <c r="B28" s="162" t="s">
        <v>265</v>
      </c>
      <c r="C28" s="162" t="s">
        <v>266</v>
      </c>
      <c r="D28" s="162" t="s">
        <v>267</v>
      </c>
      <c r="E28" s="162" t="s">
        <v>268</v>
      </c>
      <c r="F28" s="162" t="s">
        <v>269</v>
      </c>
      <c r="G28" s="162"/>
      <c r="H28" s="162" t="s">
        <v>143</v>
      </c>
      <c r="I28" s="162" t="s">
        <v>144</v>
      </c>
      <c r="J28" s="162" t="s">
        <v>146</v>
      </c>
      <c r="K28" s="162" t="s">
        <v>145</v>
      </c>
      <c r="L28" s="162" t="s">
        <v>147</v>
      </c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4" t="s">
        <v>173</v>
      </c>
    </row>
    <row r="29" spans="2:29" ht="15">
      <c r="B29" s="163" t="s">
        <v>348</v>
      </c>
      <c r="C29" s="163" t="s">
        <v>348</v>
      </c>
      <c r="D29" s="163" t="s">
        <v>348</v>
      </c>
      <c r="E29" s="163" t="s">
        <v>348</v>
      </c>
      <c r="F29" s="163" t="s">
        <v>348</v>
      </c>
      <c r="G29" s="163"/>
      <c r="H29" s="163"/>
      <c r="I29" s="163"/>
      <c r="J29" s="163"/>
      <c r="K29" s="163"/>
      <c r="L29" s="163"/>
      <c r="M29" s="226" t="s">
        <v>228</v>
      </c>
      <c r="N29" s="163"/>
      <c r="O29" s="163"/>
      <c r="P29" s="163"/>
      <c r="Q29" s="163"/>
      <c r="R29" s="163"/>
      <c r="S29" s="163"/>
      <c r="T29" s="163"/>
      <c r="U29" s="163"/>
      <c r="V29" s="165" t="s">
        <v>345</v>
      </c>
      <c r="W29" s="166"/>
      <c r="X29" s="167"/>
      <c r="Y29" s="215" t="s">
        <v>169</v>
      </c>
      <c r="Z29" s="216" t="s">
        <v>160</v>
      </c>
      <c r="AA29" s="163" t="s">
        <v>170</v>
      </c>
      <c r="AB29" s="163"/>
      <c r="AC29" s="164"/>
    </row>
    <row r="30" spans="1:29" ht="15">
      <c r="A30">
        <v>31</v>
      </c>
      <c r="B30" s="197">
        <v>44722.58981443392</v>
      </c>
      <c r="C30" s="197">
        <v>44.61986742383202</v>
      </c>
      <c r="D30" s="197">
        <v>9472097.68699303</v>
      </c>
      <c r="E30" s="197">
        <v>9451071.028739015</v>
      </c>
      <c r="F30" s="224">
        <v>20982.03838659264</v>
      </c>
      <c r="G30" s="169"/>
      <c r="H30" s="170">
        <v>107043.72319253553</v>
      </c>
      <c r="I30" s="168">
        <v>2583.3469486860413</v>
      </c>
      <c r="J30" s="168">
        <v>104460.37624384949</v>
      </c>
      <c r="K30" s="171">
        <v>613.404982863387</v>
      </c>
      <c r="L30" s="171">
        <v>103846.9712609861</v>
      </c>
      <c r="M30" s="222">
        <f>F30+F34</f>
        <v>17798.81281807646</v>
      </c>
      <c r="N30" s="173">
        <f>B30+D30</f>
        <v>9516820.276807465</v>
      </c>
      <c r="O30" s="173">
        <f>B30</f>
        <v>44722.58981443392</v>
      </c>
      <c r="P30" s="173">
        <f>D30+H30</f>
        <v>9579141.410185566</v>
      </c>
      <c r="Q30" s="174">
        <f>C30+F30+I30</f>
        <v>23610.005202702516</v>
      </c>
      <c r="R30" s="174">
        <f aca="true" t="shared" si="11" ref="R30:R41">E30</f>
        <v>9451071.028739015</v>
      </c>
      <c r="S30" s="174">
        <f aca="true" t="shared" si="12" ref="S30:U41">J30</f>
        <v>104460.37624384949</v>
      </c>
      <c r="T30" s="174">
        <f t="shared" si="12"/>
        <v>613.404982863387</v>
      </c>
      <c r="U30" s="174">
        <f t="shared" si="12"/>
        <v>103846.9712609861</v>
      </c>
      <c r="V30" s="165">
        <v>110</v>
      </c>
      <c r="W30" s="165">
        <f>Y30+Z30</f>
        <v>0</v>
      </c>
      <c r="X30" s="175" t="s">
        <v>5</v>
      </c>
      <c r="Y30" s="215"/>
      <c r="Z30" s="216"/>
      <c r="AA30" s="163"/>
      <c r="AB30" s="163"/>
      <c r="AC30" s="164">
        <v>13182</v>
      </c>
    </row>
    <row r="31" spans="1:29" ht="15">
      <c r="A31">
        <v>28</v>
      </c>
      <c r="B31" s="197">
        <v>24934.275932463304</v>
      </c>
      <c r="C31" s="197">
        <v>16.19784401541586</v>
      </c>
      <c r="D31" s="197">
        <v>8578191.571402065</v>
      </c>
      <c r="E31" s="197">
        <v>8564875.52258664</v>
      </c>
      <c r="F31" s="224">
        <v>13299.850971410051</v>
      </c>
      <c r="G31" s="169"/>
      <c r="H31" s="170">
        <v>103253.15266547225</v>
      </c>
      <c r="I31" s="168">
        <v>2491.866957960621</v>
      </c>
      <c r="J31" s="168">
        <v>100761.28570751163</v>
      </c>
      <c r="K31" s="171">
        <v>469.80829415275366</v>
      </c>
      <c r="L31" s="171">
        <v>100291.47741335888</v>
      </c>
      <c r="M31" s="222">
        <f>F31+F35</f>
        <v>9886.248363053426</v>
      </c>
      <c r="N31" s="173">
        <f aca="true" t="shared" si="13" ref="N31:N41">B31+D31</f>
        <v>8603125.847334528</v>
      </c>
      <c r="O31" s="173">
        <f aca="true" t="shared" si="14" ref="O31:O41">B31</f>
        <v>24934.275932463304</v>
      </c>
      <c r="P31" s="173">
        <f aca="true" t="shared" si="15" ref="P31:P41">D31+H31</f>
        <v>8681444.724067537</v>
      </c>
      <c r="Q31" s="174">
        <f aca="true" t="shared" si="16" ref="Q31:Q41">C31+F31+I31</f>
        <v>15807.915773386088</v>
      </c>
      <c r="R31" s="174">
        <f t="shared" si="11"/>
        <v>8564875.52258664</v>
      </c>
      <c r="S31" s="174">
        <f t="shared" si="12"/>
        <v>100761.28570751163</v>
      </c>
      <c r="T31" s="174">
        <f t="shared" si="12"/>
        <v>469.80829415275366</v>
      </c>
      <c r="U31" s="174">
        <f t="shared" si="12"/>
        <v>100291.47741335888</v>
      </c>
      <c r="V31" s="165">
        <v>10</v>
      </c>
      <c r="W31" s="165">
        <f>Y31+Z31</f>
        <v>0</v>
      </c>
      <c r="X31" s="175" t="s">
        <v>5</v>
      </c>
      <c r="Y31" s="215"/>
      <c r="Z31" s="216"/>
      <c r="AA31" s="163"/>
      <c r="AB31" s="163"/>
      <c r="AC31" s="164">
        <v>14241</v>
      </c>
    </row>
    <row r="32" spans="1:29" ht="15">
      <c r="A32">
        <v>31</v>
      </c>
      <c r="B32" s="197">
        <v>30340.153898786666</v>
      </c>
      <c r="C32" s="197">
        <v>188.0083172208339</v>
      </c>
      <c r="D32" s="197">
        <v>8817127.199060261</v>
      </c>
      <c r="E32" s="197">
        <v>8803912.10148876</v>
      </c>
      <c r="F32" s="224">
        <v>13027.089254280552</v>
      </c>
      <c r="G32" s="169"/>
      <c r="H32" s="170">
        <v>13114.647040951897</v>
      </c>
      <c r="I32" s="168">
        <v>316.5032232240228</v>
      </c>
      <c r="J32" s="168">
        <v>12798.143817727874</v>
      </c>
      <c r="K32" s="171">
        <v>1217.245306489247</v>
      </c>
      <c r="L32" s="171">
        <v>11580.898511238627</v>
      </c>
      <c r="M32" s="222">
        <f>F32+F36</f>
        <v>9983.752523390576</v>
      </c>
      <c r="N32" s="173">
        <f t="shared" si="13"/>
        <v>8847467.352959048</v>
      </c>
      <c r="O32" s="173">
        <f t="shared" si="14"/>
        <v>30340.153898786666</v>
      </c>
      <c r="P32" s="173">
        <f t="shared" si="15"/>
        <v>8830241.846101213</v>
      </c>
      <c r="Q32" s="174">
        <f t="shared" si="16"/>
        <v>13531.60079472541</v>
      </c>
      <c r="R32" s="174">
        <f t="shared" si="11"/>
        <v>8803912.10148876</v>
      </c>
      <c r="S32" s="174">
        <f t="shared" si="12"/>
        <v>12798.143817727874</v>
      </c>
      <c r="T32" s="174">
        <f t="shared" si="12"/>
        <v>1217.245306489247</v>
      </c>
      <c r="U32" s="174">
        <f t="shared" si="12"/>
        <v>11580.898511238627</v>
      </c>
      <c r="V32" s="176">
        <v>0.4</v>
      </c>
      <c r="W32" s="165">
        <f aca="true" t="shared" si="17" ref="W32:W40">Y32+Z32</f>
        <v>0</v>
      </c>
      <c r="X32" s="175" t="s">
        <v>5</v>
      </c>
      <c r="Y32" s="215"/>
      <c r="Z32" s="216"/>
      <c r="AA32" s="163"/>
      <c r="AB32" s="163"/>
      <c r="AC32" s="164">
        <v>13095</v>
      </c>
    </row>
    <row r="33" spans="1:29" ht="15">
      <c r="A33">
        <v>30</v>
      </c>
      <c r="B33" s="197">
        <v>8287.993858550832</v>
      </c>
      <c r="C33" s="197">
        <v>2.1224328905122483</v>
      </c>
      <c r="D33" s="197">
        <v>7434601.915029068</v>
      </c>
      <c r="E33" s="197">
        <v>7431001.051770927</v>
      </c>
      <c r="F33" s="224">
        <v>3598.7408252498135</v>
      </c>
      <c r="G33" s="169"/>
      <c r="H33" s="170">
        <v>144469.09111238277</v>
      </c>
      <c r="I33" s="168">
        <v>3486.5546019296744</v>
      </c>
      <c r="J33" s="168">
        <v>140982.5365104531</v>
      </c>
      <c r="K33" s="171">
        <v>1832.5882813803328</v>
      </c>
      <c r="L33" s="171">
        <v>139149.94822907276</v>
      </c>
      <c r="M33" s="222">
        <f>F33</f>
        <v>3598.7408252498135</v>
      </c>
      <c r="N33" s="173">
        <f t="shared" si="13"/>
        <v>7442889.908887618</v>
      </c>
      <c r="O33" s="173">
        <f t="shared" si="14"/>
        <v>8287.993858550832</v>
      </c>
      <c r="P33" s="173">
        <f t="shared" si="15"/>
        <v>7579071.00614145</v>
      </c>
      <c r="Q33" s="174">
        <f t="shared" si="16"/>
        <v>7087.41786007</v>
      </c>
      <c r="R33" s="174">
        <f t="shared" si="11"/>
        <v>7431001.051770927</v>
      </c>
      <c r="S33" s="174">
        <f t="shared" si="12"/>
        <v>140982.5365104531</v>
      </c>
      <c r="T33" s="174">
        <f t="shared" si="12"/>
        <v>1832.5882813803328</v>
      </c>
      <c r="U33" s="174">
        <f t="shared" si="12"/>
        <v>139149.94822907276</v>
      </c>
      <c r="V33" s="165" t="s">
        <v>346</v>
      </c>
      <c r="W33" s="165"/>
      <c r="X33" s="175"/>
      <c r="Y33" s="215"/>
      <c r="Z33" s="216"/>
      <c r="AA33" s="163"/>
      <c r="AB33" s="163"/>
      <c r="AC33" s="164">
        <v>11355</v>
      </c>
    </row>
    <row r="34" spans="1:29" ht="15">
      <c r="A34">
        <v>31</v>
      </c>
      <c r="B34" s="197">
        <v>0</v>
      </c>
      <c r="C34" s="197">
        <v>0</v>
      </c>
      <c r="D34" s="197">
        <v>6212737.760278512</v>
      </c>
      <c r="E34" s="197">
        <v>6215920.985847028</v>
      </c>
      <c r="F34" s="224">
        <v>-3183.22556851618</v>
      </c>
      <c r="G34" s="169"/>
      <c r="H34" s="170">
        <v>89866.23972148783</v>
      </c>
      <c r="I34" s="168">
        <v>2168.7929871126107</v>
      </c>
      <c r="J34" s="168">
        <v>87697.44673437522</v>
      </c>
      <c r="K34" s="171">
        <v>1014.4325814021868</v>
      </c>
      <c r="L34" s="171">
        <v>86683.01415297303</v>
      </c>
      <c r="M34" s="222">
        <v>0</v>
      </c>
      <c r="N34" s="173">
        <f t="shared" si="13"/>
        <v>6212737.760278512</v>
      </c>
      <c r="O34" s="173">
        <f t="shared" si="14"/>
        <v>0</v>
      </c>
      <c r="P34" s="173">
        <f t="shared" si="15"/>
        <v>6302604</v>
      </c>
      <c r="Q34" s="174">
        <f t="shared" si="16"/>
        <v>-1014.4325814035692</v>
      </c>
      <c r="R34" s="174">
        <f t="shared" si="11"/>
        <v>6215920.985847028</v>
      </c>
      <c r="S34" s="174">
        <f t="shared" si="12"/>
        <v>87697.44673437522</v>
      </c>
      <c r="T34" s="174">
        <f t="shared" si="12"/>
        <v>1014.4325814021868</v>
      </c>
      <c r="U34" s="174">
        <f t="shared" si="12"/>
        <v>86683.01415297303</v>
      </c>
      <c r="V34" s="165">
        <v>110</v>
      </c>
      <c r="W34" s="165">
        <f t="shared" si="17"/>
        <v>0</v>
      </c>
      <c r="X34" s="175" t="s">
        <v>5</v>
      </c>
      <c r="Y34" s="215"/>
      <c r="Z34" s="216"/>
      <c r="AA34" s="163">
        <f>W34/N42*100</f>
        <v>0</v>
      </c>
      <c r="AB34" s="163"/>
      <c r="AC34" s="164">
        <v>8802</v>
      </c>
    </row>
    <row r="35" spans="1:29" ht="15">
      <c r="A35">
        <v>30</v>
      </c>
      <c r="B35" s="197">
        <v>0</v>
      </c>
      <c r="C35" s="197">
        <v>0</v>
      </c>
      <c r="D35" s="197">
        <v>4855626.6903516995</v>
      </c>
      <c r="E35" s="197">
        <v>4859040.292960056</v>
      </c>
      <c r="F35" s="224">
        <v>-3413.602608356625</v>
      </c>
      <c r="G35" s="169"/>
      <c r="H35" s="170">
        <v>115090.3096483006</v>
      </c>
      <c r="I35" s="168">
        <v>2777.5397882834804</v>
      </c>
      <c r="J35" s="168">
        <v>112312.76986001711</v>
      </c>
      <c r="K35" s="171">
        <v>636.0628200736974</v>
      </c>
      <c r="L35" s="171">
        <v>111676.70703994342</v>
      </c>
      <c r="M35" s="222">
        <v>0</v>
      </c>
      <c r="N35" s="173">
        <f t="shared" si="13"/>
        <v>4855626.6903516995</v>
      </c>
      <c r="O35" s="173">
        <f t="shared" si="14"/>
        <v>0</v>
      </c>
      <c r="P35" s="173">
        <f t="shared" si="15"/>
        <v>4970717</v>
      </c>
      <c r="Q35" s="174">
        <f t="shared" si="16"/>
        <v>-636.0628200731444</v>
      </c>
      <c r="R35" s="174">
        <f t="shared" si="11"/>
        <v>4859040.292960056</v>
      </c>
      <c r="S35" s="174">
        <f t="shared" si="12"/>
        <v>112312.76986001711</v>
      </c>
      <c r="T35" s="174">
        <f t="shared" si="12"/>
        <v>636.0628200736974</v>
      </c>
      <c r="U35" s="174">
        <f t="shared" si="12"/>
        <v>111676.70703994342</v>
      </c>
      <c r="V35" s="165">
        <v>10</v>
      </c>
      <c r="W35" s="165">
        <f>Y35+Z35</f>
        <v>0</v>
      </c>
      <c r="X35" s="175" t="s">
        <v>5</v>
      </c>
      <c r="Y35" s="215"/>
      <c r="Z35" s="216"/>
      <c r="AA35" s="163">
        <f>W35/P42*100</f>
        <v>0</v>
      </c>
      <c r="AB35" s="163"/>
      <c r="AC35" s="164">
        <v>7748</v>
      </c>
    </row>
    <row r="36" spans="1:29" ht="15">
      <c r="A36">
        <v>31</v>
      </c>
      <c r="B36" s="197">
        <v>0</v>
      </c>
      <c r="C36" s="197">
        <v>0</v>
      </c>
      <c r="D36" s="197">
        <v>5046014.413180504</v>
      </c>
      <c r="E36" s="197">
        <v>5049057.749911394</v>
      </c>
      <c r="F36" s="224">
        <v>-3043.336730889976</v>
      </c>
      <c r="G36" s="169"/>
      <c r="H36" s="170">
        <v>85734.58681949551</v>
      </c>
      <c r="I36" s="168">
        <v>2069.0814617745636</v>
      </c>
      <c r="J36" s="168">
        <v>83665.50535772095</v>
      </c>
      <c r="K36" s="171">
        <v>974.2552691141755</v>
      </c>
      <c r="L36" s="171">
        <v>82691.25008860677</v>
      </c>
      <c r="M36" s="222">
        <v>0</v>
      </c>
      <c r="N36" s="173">
        <f t="shared" si="13"/>
        <v>5046014.413180504</v>
      </c>
      <c r="O36" s="173">
        <f t="shared" si="14"/>
        <v>0</v>
      </c>
      <c r="P36" s="173">
        <f t="shared" si="15"/>
        <v>5131748.999999999</v>
      </c>
      <c r="Q36" s="174">
        <f t="shared" si="16"/>
        <v>-974.2552691154124</v>
      </c>
      <c r="R36" s="174">
        <f t="shared" si="11"/>
        <v>5049057.749911394</v>
      </c>
      <c r="S36" s="174">
        <f t="shared" si="12"/>
        <v>83665.50535772095</v>
      </c>
      <c r="T36" s="174">
        <f t="shared" si="12"/>
        <v>974.2552691141755</v>
      </c>
      <c r="U36" s="174">
        <f t="shared" si="12"/>
        <v>82691.25008860677</v>
      </c>
      <c r="V36" s="176">
        <v>0.4</v>
      </c>
      <c r="W36" s="165">
        <f>Y36+Z36</f>
        <v>0</v>
      </c>
      <c r="X36" s="175" t="s">
        <v>5</v>
      </c>
      <c r="Y36" s="215"/>
      <c r="Z36" s="216"/>
      <c r="AA36" s="163">
        <f>W36/AA39/1000</f>
        <v>0</v>
      </c>
      <c r="AB36" s="163"/>
      <c r="AC36" s="164">
        <v>7863</v>
      </c>
    </row>
    <row r="37" spans="1:29" ht="15">
      <c r="A37">
        <v>31</v>
      </c>
      <c r="B37" s="197">
        <v>0</v>
      </c>
      <c r="C37" s="197">
        <v>0</v>
      </c>
      <c r="D37" s="197">
        <v>4872835.38174254</v>
      </c>
      <c r="E37" s="197">
        <v>4875802.425024976</v>
      </c>
      <c r="F37" s="224">
        <v>-2967.043282436207</v>
      </c>
      <c r="G37" s="169"/>
      <c r="H37" s="170">
        <v>91681.61825746056</v>
      </c>
      <c r="I37" s="168">
        <v>2212.604548049989</v>
      </c>
      <c r="J37" s="168">
        <v>89469.01370941057</v>
      </c>
      <c r="K37" s="171">
        <v>754.4387343867129</v>
      </c>
      <c r="L37" s="171">
        <v>88714.57497502386</v>
      </c>
      <c r="M37" s="222">
        <v>0</v>
      </c>
      <c r="N37" s="173">
        <f t="shared" si="13"/>
        <v>4872835.38174254</v>
      </c>
      <c r="O37" s="173">
        <f t="shared" si="14"/>
        <v>0</v>
      </c>
      <c r="P37" s="173">
        <f t="shared" si="15"/>
        <v>4964517</v>
      </c>
      <c r="Q37" s="174">
        <f t="shared" si="16"/>
        <v>-754.4387343862181</v>
      </c>
      <c r="R37" s="174">
        <f t="shared" si="11"/>
        <v>4875802.425024976</v>
      </c>
      <c r="S37" s="174">
        <f t="shared" si="12"/>
        <v>89469.01370941057</v>
      </c>
      <c r="T37" s="174">
        <f t="shared" si="12"/>
        <v>754.4387343867129</v>
      </c>
      <c r="U37" s="174">
        <f t="shared" si="12"/>
        <v>88714.57497502386</v>
      </c>
      <c r="V37" s="165" t="s">
        <v>344</v>
      </c>
      <c r="W37" s="165"/>
      <c r="X37" s="175"/>
      <c r="Y37" s="215"/>
      <c r="Z37" s="216"/>
      <c r="AA37" s="163"/>
      <c r="AB37" s="163"/>
      <c r="AC37" s="164">
        <v>7586</v>
      </c>
    </row>
    <row r="38" spans="1:29" ht="15">
      <c r="A38">
        <v>30</v>
      </c>
      <c r="B38" s="197">
        <v>0</v>
      </c>
      <c r="C38" s="197">
        <v>0</v>
      </c>
      <c r="D38" s="197">
        <v>5211738.211650807</v>
      </c>
      <c r="E38" s="197">
        <v>5215244.3904446475</v>
      </c>
      <c r="F38" s="224">
        <v>-3506.1787938401103</v>
      </c>
      <c r="G38" s="169"/>
      <c r="H38" s="170">
        <v>108713.78834919263</v>
      </c>
      <c r="I38" s="168">
        <v>2623.6515793349245</v>
      </c>
      <c r="J38" s="168">
        <v>106090.13676985771</v>
      </c>
      <c r="K38" s="171">
        <v>882.5272145048366</v>
      </c>
      <c r="L38" s="171">
        <v>105207.60955535287</v>
      </c>
      <c r="M38" s="222">
        <v>0</v>
      </c>
      <c r="N38" s="173">
        <f t="shared" si="13"/>
        <v>5211738.211650807</v>
      </c>
      <c r="O38" s="173">
        <f t="shared" si="14"/>
        <v>0</v>
      </c>
      <c r="P38" s="173">
        <f t="shared" si="15"/>
        <v>5320452</v>
      </c>
      <c r="Q38" s="174">
        <f t="shared" si="16"/>
        <v>-882.5272145051858</v>
      </c>
      <c r="R38" s="174">
        <f t="shared" si="11"/>
        <v>5215244.3904446475</v>
      </c>
      <c r="S38" s="174">
        <f t="shared" si="12"/>
        <v>106090.13676985771</v>
      </c>
      <c r="T38" s="174">
        <f t="shared" si="12"/>
        <v>882.5272145048366</v>
      </c>
      <c r="U38" s="174">
        <f t="shared" si="12"/>
        <v>105207.60955535287</v>
      </c>
      <c r="V38" s="165">
        <v>110</v>
      </c>
      <c r="W38" s="165">
        <f t="shared" si="17"/>
        <v>0</v>
      </c>
      <c r="X38" s="175" t="s">
        <v>5</v>
      </c>
      <c r="Y38" s="215"/>
      <c r="Z38" s="216"/>
      <c r="AA38" s="163" t="s">
        <v>171</v>
      </c>
      <c r="AB38" s="163"/>
      <c r="AC38" s="164">
        <v>9088</v>
      </c>
    </row>
    <row r="39" spans="1:29" ht="15">
      <c r="A39">
        <v>31</v>
      </c>
      <c r="B39" s="197">
        <v>2105.220111979623</v>
      </c>
      <c r="C39" s="197">
        <v>0.20786218647378102</v>
      </c>
      <c r="D39" s="197">
        <v>7681305.254660465</v>
      </c>
      <c r="E39" s="197">
        <v>7674570.24870501</v>
      </c>
      <c r="F39" s="224">
        <v>6734.798093268648</v>
      </c>
      <c r="G39" s="169"/>
      <c r="H39" s="170">
        <v>214050.52522755583</v>
      </c>
      <c r="I39" s="168">
        <v>5165.802858114825</v>
      </c>
      <c r="J39" s="168">
        <v>208884.722369441</v>
      </c>
      <c r="K39" s="171">
        <v>1306.9710744502954</v>
      </c>
      <c r="L39" s="171">
        <v>207577.7512949907</v>
      </c>
      <c r="M39" s="222">
        <f>F39</f>
        <v>6734.798093268648</v>
      </c>
      <c r="N39" s="173">
        <f t="shared" si="13"/>
        <v>7683410.474772444</v>
      </c>
      <c r="O39" s="173">
        <f t="shared" si="14"/>
        <v>2105.220111979623</v>
      </c>
      <c r="P39" s="173">
        <f t="shared" si="15"/>
        <v>7895355.779888021</v>
      </c>
      <c r="Q39" s="174">
        <f t="shared" si="16"/>
        <v>11900.808813569947</v>
      </c>
      <c r="R39" s="174">
        <f t="shared" si="11"/>
        <v>7674570.24870501</v>
      </c>
      <c r="S39" s="174">
        <f t="shared" si="12"/>
        <v>208884.722369441</v>
      </c>
      <c r="T39" s="174">
        <f t="shared" si="12"/>
        <v>1306.9710744502954</v>
      </c>
      <c r="U39" s="174">
        <f t="shared" si="12"/>
        <v>207577.7512949907</v>
      </c>
      <c r="V39" s="165">
        <v>10</v>
      </c>
      <c r="W39" s="165">
        <f>Y39+Z39</f>
        <v>0</v>
      </c>
      <c r="X39" s="175" t="s">
        <v>5</v>
      </c>
      <c r="Y39" s="215"/>
      <c r="Z39" s="217"/>
      <c r="AA39" s="163">
        <v>2.03</v>
      </c>
      <c r="AB39" s="163"/>
      <c r="AC39" s="164">
        <v>12034</v>
      </c>
    </row>
    <row r="40" spans="1:29" ht="15">
      <c r="A40">
        <v>30</v>
      </c>
      <c r="B40" s="197">
        <v>4483.87340565205</v>
      </c>
      <c r="C40" s="197">
        <v>0.780518610282322</v>
      </c>
      <c r="D40" s="197">
        <v>8132307.668559139</v>
      </c>
      <c r="E40" s="197">
        <v>8119057.652759564</v>
      </c>
      <c r="F40" s="224">
        <v>13249.235280964524</v>
      </c>
      <c r="G40" s="169"/>
      <c r="H40" s="170">
        <v>148790.4580352097</v>
      </c>
      <c r="I40" s="168">
        <v>3590.844603447622</v>
      </c>
      <c r="J40" s="168">
        <v>145199.6134317621</v>
      </c>
      <c r="K40" s="171">
        <v>1302.2661913268385</v>
      </c>
      <c r="L40" s="171">
        <v>143897.34724043525</v>
      </c>
      <c r="M40" s="222">
        <f>F40+F37</f>
        <v>10282.191998528317</v>
      </c>
      <c r="N40" s="173">
        <f t="shared" si="13"/>
        <v>8136791.541964791</v>
      </c>
      <c r="O40" s="173">
        <f t="shared" si="14"/>
        <v>4483.87340565205</v>
      </c>
      <c r="P40" s="173">
        <f t="shared" si="15"/>
        <v>8281098.126594349</v>
      </c>
      <c r="Q40" s="174">
        <f t="shared" si="16"/>
        <v>16840.860403022427</v>
      </c>
      <c r="R40" s="174">
        <f t="shared" si="11"/>
        <v>8119057.652759564</v>
      </c>
      <c r="S40" s="174">
        <f t="shared" si="12"/>
        <v>145199.6134317621</v>
      </c>
      <c r="T40" s="174">
        <f t="shared" si="12"/>
        <v>1302.2661913268385</v>
      </c>
      <c r="U40" s="174">
        <f t="shared" si="12"/>
        <v>143897.34724043525</v>
      </c>
      <c r="V40" s="176">
        <v>0.4</v>
      </c>
      <c r="W40" s="165">
        <f t="shared" si="17"/>
        <v>0</v>
      </c>
      <c r="X40" s="175" t="s">
        <v>5</v>
      </c>
      <c r="Y40" s="163"/>
      <c r="Z40" s="218"/>
      <c r="AA40" s="163"/>
      <c r="AB40" s="163"/>
      <c r="AC40" s="164">
        <v>12769</v>
      </c>
    </row>
    <row r="41" spans="1:29" ht="15">
      <c r="A41">
        <v>31</v>
      </c>
      <c r="B41" s="197">
        <v>19567.70886365065</v>
      </c>
      <c r="C41" s="197">
        <v>12.823701434668296</v>
      </c>
      <c r="D41" s="197">
        <v>8594275.74605769</v>
      </c>
      <c r="E41" s="197">
        <v>8577032.468179403</v>
      </c>
      <c r="F41" s="224">
        <v>17230.45417685248</v>
      </c>
      <c r="G41" s="169"/>
      <c r="H41" s="170">
        <v>90099.54507866116</v>
      </c>
      <c r="I41" s="168">
        <v>2174.4234777625097</v>
      </c>
      <c r="J41" s="168">
        <v>87925.12160089865</v>
      </c>
      <c r="K41" s="171">
        <v>661.5897803003463</v>
      </c>
      <c r="L41" s="171">
        <v>87263.5318205983</v>
      </c>
      <c r="M41" s="222">
        <f>F41+F38</f>
        <v>13724.27538301237</v>
      </c>
      <c r="N41" s="173">
        <f t="shared" si="13"/>
        <v>8613843.45492134</v>
      </c>
      <c r="O41" s="173">
        <f t="shared" si="14"/>
        <v>19567.70886365065</v>
      </c>
      <c r="P41" s="173">
        <f t="shared" si="15"/>
        <v>8684375.29113635</v>
      </c>
      <c r="Q41" s="174">
        <f t="shared" si="16"/>
        <v>19417.701356049656</v>
      </c>
      <c r="R41" s="174">
        <f t="shared" si="11"/>
        <v>8577032.468179403</v>
      </c>
      <c r="S41" s="174">
        <f t="shared" si="12"/>
        <v>87925.12160089865</v>
      </c>
      <c r="T41" s="174">
        <f t="shared" si="12"/>
        <v>661.5897803003463</v>
      </c>
      <c r="U41" s="174">
        <f t="shared" si="12"/>
        <v>87263.5318205983</v>
      </c>
      <c r="V41" s="177" t="s">
        <v>220</v>
      </c>
      <c r="W41" s="178">
        <v>11.011</v>
      </c>
      <c r="X41" s="179" t="s">
        <v>4</v>
      </c>
      <c r="Y41" s="163"/>
      <c r="Z41" s="163"/>
      <c r="AA41" s="169"/>
      <c r="AB41" s="163"/>
      <c r="AC41" s="164">
        <v>12856</v>
      </c>
    </row>
    <row r="42" spans="2:29" ht="15">
      <c r="B42" s="198">
        <f>SUM(B30:B41)</f>
        <v>134441.81588551705</v>
      </c>
      <c r="C42" s="198">
        <f>SUM(C30:C41)</f>
        <v>264.76054378201843</v>
      </c>
      <c r="D42" s="198">
        <f>SUM(D30:D41)</f>
        <v>84908859.49896577</v>
      </c>
      <c r="E42" s="198">
        <f>SUM(E30:E41)</f>
        <v>84836585.91841742</v>
      </c>
      <c r="F42" s="225">
        <f>SUM(F30:F41)</f>
        <v>72008.82000457961</v>
      </c>
      <c r="G42" s="181"/>
      <c r="H42" s="182">
        <f aca="true" t="shared" si="18" ref="H42:M42">SUM(H30:H41)</f>
        <v>1311907.6851487062</v>
      </c>
      <c r="I42" s="180">
        <f t="shared" si="18"/>
        <v>31661.013035680884</v>
      </c>
      <c r="J42" s="180">
        <f t="shared" si="18"/>
        <v>1280246.6721130253</v>
      </c>
      <c r="K42" s="183">
        <f t="shared" si="18"/>
        <v>11665.59053044481</v>
      </c>
      <c r="L42" s="183">
        <f t="shared" si="18"/>
        <v>1268581.0815825805</v>
      </c>
      <c r="M42" s="223">
        <f t="shared" si="18"/>
        <v>72008.82000457961</v>
      </c>
      <c r="N42" s="181">
        <f aca="true" t="shared" si="19" ref="N42:U42">SUM(N30:N41)</f>
        <v>85043301.31485128</v>
      </c>
      <c r="O42" s="181">
        <f t="shared" si="19"/>
        <v>134441.81588551705</v>
      </c>
      <c r="P42" s="181">
        <f t="shared" si="19"/>
        <v>86220767.18411449</v>
      </c>
      <c r="Q42" s="181">
        <f t="shared" si="19"/>
        <v>103934.59358404251</v>
      </c>
      <c r="R42" s="181">
        <f t="shared" si="19"/>
        <v>84836585.91841742</v>
      </c>
      <c r="S42" s="181">
        <f t="shared" si="19"/>
        <v>1280246.6721130253</v>
      </c>
      <c r="T42" s="181">
        <f t="shared" si="19"/>
        <v>11665.59053044481</v>
      </c>
      <c r="U42" s="181">
        <f t="shared" si="19"/>
        <v>1268581.0815825805</v>
      </c>
      <c r="V42" s="163" t="s">
        <v>158</v>
      </c>
      <c r="W42" s="184">
        <f>W24*1.03</f>
        <v>1.0197</v>
      </c>
      <c r="X42" s="219">
        <f>H42/8760/1000*W41/W44</f>
        <v>0.1698595338825325</v>
      </c>
      <c r="Y42" s="219" t="s">
        <v>226</v>
      </c>
      <c r="Z42" s="163"/>
      <c r="AA42" s="163"/>
      <c r="AB42" s="163"/>
      <c r="AC42" s="185">
        <f>AVERAGE(AC30:AC41)</f>
        <v>10884.916666666666</v>
      </c>
    </row>
    <row r="43" spans="1:29" ht="15">
      <c r="A43" s="199"/>
      <c r="B43" s="200"/>
      <c r="C43" s="200"/>
      <c r="D43" s="200"/>
      <c r="E43" s="200"/>
      <c r="F43" s="222"/>
      <c r="G43" s="191"/>
      <c r="H43" s="191"/>
      <c r="I43" s="191"/>
      <c r="J43" s="191"/>
      <c r="K43" s="191"/>
      <c r="L43" s="191"/>
      <c r="M43" s="191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4"/>
    </row>
    <row r="44" spans="2:29" ht="21">
      <c r="B44" s="163"/>
      <c r="C44" s="163"/>
      <c r="D44" s="296" t="s">
        <v>460</v>
      </c>
      <c r="E44" s="163"/>
      <c r="F44" s="163"/>
      <c r="G44" s="163"/>
      <c r="H44" s="163"/>
      <c r="I44" s="163"/>
      <c r="J44" s="163"/>
      <c r="K44" s="163"/>
      <c r="L44" s="634" t="s">
        <v>165</v>
      </c>
      <c r="M44" s="635"/>
      <c r="N44" s="635"/>
      <c r="O44" s="635"/>
      <c r="P44" s="163"/>
      <c r="Q44" s="163"/>
      <c r="R44" s="163"/>
      <c r="S44" s="163">
        <v>2016</v>
      </c>
      <c r="T44" s="163"/>
      <c r="U44" s="163"/>
      <c r="V44" s="163"/>
      <c r="W44" s="163">
        <f>(D42+B42)/8760/1000</f>
        <v>9.708139419503572</v>
      </c>
      <c r="X44" s="163"/>
      <c r="Y44" s="163"/>
      <c r="Z44" s="163"/>
      <c r="AA44" s="163"/>
      <c r="AB44" s="163"/>
      <c r="AC44" s="164"/>
    </row>
    <row r="45" spans="2:29" ht="14.25" customHeight="1">
      <c r="B45" s="638" t="s">
        <v>230</v>
      </c>
      <c r="C45" s="639"/>
      <c r="D45" s="639"/>
      <c r="E45" s="639"/>
      <c r="F45" s="639"/>
      <c r="G45" s="162"/>
      <c r="H45" s="236" t="s">
        <v>231</v>
      </c>
      <c r="I45" s="186"/>
      <c r="J45" s="186"/>
      <c r="K45" s="186"/>
      <c r="L45" s="186"/>
      <c r="M45" s="163"/>
      <c r="N45" s="187" t="s">
        <v>149</v>
      </c>
      <c r="O45" s="187" t="s">
        <v>150</v>
      </c>
      <c r="P45" s="187" t="s">
        <v>143</v>
      </c>
      <c r="Q45" s="187" t="s">
        <v>151</v>
      </c>
      <c r="R45" s="187" t="s">
        <v>152</v>
      </c>
      <c r="S45" s="187" t="s">
        <v>146</v>
      </c>
      <c r="T45" s="187" t="s">
        <v>153</v>
      </c>
      <c r="U45" s="187" t="s">
        <v>147</v>
      </c>
      <c r="V45" s="163"/>
      <c r="W45" s="163"/>
      <c r="X45" s="163"/>
      <c r="Y45" s="163"/>
      <c r="Z45" s="163"/>
      <c r="AA45" s="163"/>
      <c r="AB45" s="163"/>
      <c r="AC45" s="164"/>
    </row>
    <row r="46" spans="2:29" ht="45">
      <c r="B46" s="229" t="s">
        <v>265</v>
      </c>
      <c r="C46" s="229" t="s">
        <v>266</v>
      </c>
      <c r="D46" s="229" t="s">
        <v>267</v>
      </c>
      <c r="E46" s="229" t="s">
        <v>268</v>
      </c>
      <c r="F46" s="229" t="s">
        <v>269</v>
      </c>
      <c r="G46" s="229"/>
      <c r="H46" s="229" t="s">
        <v>143</v>
      </c>
      <c r="I46" s="229" t="s">
        <v>144</v>
      </c>
      <c r="J46" s="229" t="s">
        <v>146</v>
      </c>
      <c r="K46" s="229" t="s">
        <v>145</v>
      </c>
      <c r="L46" s="229" t="s">
        <v>147</v>
      </c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4"/>
    </row>
    <row r="47" spans="2:29" ht="15">
      <c r="B47" s="230" t="s">
        <v>348</v>
      </c>
      <c r="C47" s="230" t="s">
        <v>348</v>
      </c>
      <c r="D47" s="230" t="s">
        <v>348</v>
      </c>
      <c r="E47" s="230" t="s">
        <v>348</v>
      </c>
      <c r="F47" s="230" t="s">
        <v>348</v>
      </c>
      <c r="G47" s="230"/>
      <c r="H47" s="230"/>
      <c r="I47" s="230"/>
      <c r="J47" s="230"/>
      <c r="K47" s="230"/>
      <c r="L47" s="230"/>
      <c r="M47" s="163"/>
      <c r="N47" s="163"/>
      <c r="O47" s="163"/>
      <c r="P47" s="163"/>
      <c r="Q47" s="163"/>
      <c r="R47" s="163"/>
      <c r="S47" s="163"/>
      <c r="T47" s="163"/>
      <c r="U47" s="163"/>
      <c r="V47" s="165" t="s">
        <v>345</v>
      </c>
      <c r="W47" s="166"/>
      <c r="X47" s="167"/>
      <c r="Y47" s="188" t="s">
        <v>159</v>
      </c>
      <c r="Z47" s="188" t="s">
        <v>160</v>
      </c>
      <c r="AA47" s="163" t="s">
        <v>170</v>
      </c>
      <c r="AB47" s="163"/>
      <c r="AC47" s="164"/>
    </row>
    <row r="48" spans="2:29" ht="15">
      <c r="B48" s="231">
        <v>0</v>
      </c>
      <c r="C48" s="231">
        <v>0</v>
      </c>
      <c r="D48" s="231">
        <v>11239426</v>
      </c>
      <c r="E48" s="231">
        <v>11239426</v>
      </c>
      <c r="F48" s="231">
        <v>0</v>
      </c>
      <c r="G48" s="232"/>
      <c r="H48" s="233">
        <v>112016</v>
      </c>
      <c r="I48" s="233">
        <v>0</v>
      </c>
      <c r="J48" s="233">
        <v>112016</v>
      </c>
      <c r="K48" s="233">
        <v>0</v>
      </c>
      <c r="L48" s="233">
        <v>112016</v>
      </c>
      <c r="M48" s="172"/>
      <c r="N48" s="173">
        <f>B48+D48</f>
        <v>11239426</v>
      </c>
      <c r="O48" s="173">
        <f>B48</f>
        <v>0</v>
      </c>
      <c r="P48" s="173">
        <f>D48+H48</f>
        <v>11351442</v>
      </c>
      <c r="Q48" s="174">
        <f>C48+F48+I48</f>
        <v>0</v>
      </c>
      <c r="R48" s="174">
        <f aca="true" t="shared" si="20" ref="R48:R59">E48</f>
        <v>11239426</v>
      </c>
      <c r="S48" s="174">
        <f aca="true" t="shared" si="21" ref="S48:U59">J48</f>
        <v>112016</v>
      </c>
      <c r="T48" s="174">
        <f t="shared" si="21"/>
        <v>0</v>
      </c>
      <c r="U48" s="174">
        <f t="shared" si="21"/>
        <v>112016</v>
      </c>
      <c r="V48" s="165">
        <v>110</v>
      </c>
      <c r="W48" s="165">
        <f>Y48+Z48</f>
        <v>0</v>
      </c>
      <c r="X48" s="175" t="s">
        <v>5</v>
      </c>
      <c r="Y48" s="188">
        <v>0</v>
      </c>
      <c r="Z48" s="188"/>
      <c r="AA48" s="163"/>
      <c r="AB48" s="163"/>
      <c r="AC48" s="164"/>
    </row>
    <row r="49" spans="2:29" ht="15">
      <c r="B49" s="231">
        <v>0</v>
      </c>
      <c r="C49" s="231">
        <v>0</v>
      </c>
      <c r="D49" s="231">
        <v>9304640</v>
      </c>
      <c r="E49" s="231">
        <v>9304640</v>
      </c>
      <c r="F49" s="231">
        <v>0</v>
      </c>
      <c r="G49" s="232"/>
      <c r="H49" s="233">
        <v>108130</v>
      </c>
      <c r="I49" s="233">
        <v>0</v>
      </c>
      <c r="J49" s="233">
        <v>108130</v>
      </c>
      <c r="K49" s="233">
        <v>0</v>
      </c>
      <c r="L49" s="233">
        <v>108130</v>
      </c>
      <c r="M49" s="172"/>
      <c r="N49" s="173">
        <f aca="true" t="shared" si="22" ref="N49:N59">B49+D49</f>
        <v>9304640</v>
      </c>
      <c r="O49" s="173">
        <f aca="true" t="shared" si="23" ref="O49:O59">B49</f>
        <v>0</v>
      </c>
      <c r="P49" s="173">
        <f aca="true" t="shared" si="24" ref="P49:P59">D49+H49</f>
        <v>9412770</v>
      </c>
      <c r="Q49" s="174">
        <f aca="true" t="shared" si="25" ref="Q49:Q59">C49+F49+I49</f>
        <v>0</v>
      </c>
      <c r="R49" s="174">
        <f t="shared" si="20"/>
        <v>9304640</v>
      </c>
      <c r="S49" s="174">
        <f t="shared" si="21"/>
        <v>108130</v>
      </c>
      <c r="T49" s="174">
        <f t="shared" si="21"/>
        <v>0</v>
      </c>
      <c r="U49" s="174">
        <f t="shared" si="21"/>
        <v>108130</v>
      </c>
      <c r="V49" s="165">
        <v>10</v>
      </c>
      <c r="W49" s="165">
        <f aca="true" t="shared" si="26" ref="W49:W57">Y49+Z49</f>
        <v>0</v>
      </c>
      <c r="X49" s="175" t="s">
        <v>5</v>
      </c>
      <c r="Y49" s="188">
        <v>0</v>
      </c>
      <c r="Z49" s="188">
        <v>0</v>
      </c>
      <c r="AA49" s="163"/>
      <c r="AB49" s="163"/>
      <c r="AC49" s="164"/>
    </row>
    <row r="50" spans="2:29" ht="15">
      <c r="B50" s="231">
        <v>0</v>
      </c>
      <c r="C50" s="231">
        <v>0</v>
      </c>
      <c r="D50" s="231">
        <v>9731508</v>
      </c>
      <c r="E50" s="231">
        <v>9731508</v>
      </c>
      <c r="F50" s="231">
        <v>0</v>
      </c>
      <c r="G50" s="232"/>
      <c r="H50" s="233">
        <v>13591</v>
      </c>
      <c r="I50" s="233">
        <v>0</v>
      </c>
      <c r="J50" s="233">
        <v>13591</v>
      </c>
      <c r="K50" s="233">
        <v>0</v>
      </c>
      <c r="L50" s="233">
        <v>13591</v>
      </c>
      <c r="M50" s="172"/>
      <c r="N50" s="173">
        <f t="shared" si="22"/>
        <v>9731508</v>
      </c>
      <c r="O50" s="173">
        <f t="shared" si="23"/>
        <v>0</v>
      </c>
      <c r="P50" s="173">
        <f t="shared" si="24"/>
        <v>9745099</v>
      </c>
      <c r="Q50" s="174">
        <f t="shared" si="25"/>
        <v>0</v>
      </c>
      <c r="R50" s="174">
        <f t="shared" si="20"/>
        <v>9731508</v>
      </c>
      <c r="S50" s="174">
        <f t="shared" si="21"/>
        <v>13591</v>
      </c>
      <c r="T50" s="174">
        <f t="shared" si="21"/>
        <v>0</v>
      </c>
      <c r="U50" s="174">
        <f t="shared" si="21"/>
        <v>13591</v>
      </c>
      <c r="V50" s="176">
        <v>0.4</v>
      </c>
      <c r="W50" s="165">
        <f t="shared" si="26"/>
        <v>0</v>
      </c>
      <c r="X50" s="175" t="s">
        <v>5</v>
      </c>
      <c r="Y50" s="188"/>
      <c r="Z50" s="188"/>
      <c r="AA50" s="163"/>
      <c r="AB50" s="163"/>
      <c r="AC50" s="164"/>
    </row>
    <row r="51" spans="2:29" ht="15">
      <c r="B51" s="231">
        <v>0</v>
      </c>
      <c r="C51" s="231">
        <v>0</v>
      </c>
      <c r="D51" s="231">
        <v>8161163</v>
      </c>
      <c r="E51" s="231">
        <v>8161163</v>
      </c>
      <c r="F51" s="231">
        <v>0</v>
      </c>
      <c r="G51" s="232"/>
      <c r="H51" s="233">
        <v>152400</v>
      </c>
      <c r="I51" s="233">
        <v>0</v>
      </c>
      <c r="J51" s="233">
        <v>152400</v>
      </c>
      <c r="K51" s="233">
        <v>0</v>
      </c>
      <c r="L51" s="233">
        <v>152400</v>
      </c>
      <c r="M51" s="172"/>
      <c r="N51" s="173">
        <f t="shared" si="22"/>
        <v>8161163</v>
      </c>
      <c r="O51" s="173">
        <f t="shared" si="23"/>
        <v>0</v>
      </c>
      <c r="P51" s="173">
        <f t="shared" si="24"/>
        <v>8313563</v>
      </c>
      <c r="Q51" s="174">
        <f t="shared" si="25"/>
        <v>0</v>
      </c>
      <c r="R51" s="174">
        <f t="shared" si="20"/>
        <v>8161163</v>
      </c>
      <c r="S51" s="174">
        <f t="shared" si="21"/>
        <v>152400</v>
      </c>
      <c r="T51" s="174">
        <f t="shared" si="21"/>
        <v>0</v>
      </c>
      <c r="U51" s="174">
        <f t="shared" si="21"/>
        <v>152400</v>
      </c>
      <c r="V51" s="165" t="s">
        <v>346</v>
      </c>
      <c r="W51" s="165"/>
      <c r="X51" s="175"/>
      <c r="Y51" s="188"/>
      <c r="Z51" s="188"/>
      <c r="AA51" s="163"/>
      <c r="AB51" s="163"/>
      <c r="AC51" s="164"/>
    </row>
    <row r="52" spans="2:29" ht="15">
      <c r="B52" s="231">
        <v>0</v>
      </c>
      <c r="C52" s="231">
        <v>0</v>
      </c>
      <c r="D52" s="231">
        <v>6720892</v>
      </c>
      <c r="E52" s="231">
        <v>6720892</v>
      </c>
      <c r="F52" s="231">
        <v>0</v>
      </c>
      <c r="G52" s="232"/>
      <c r="H52" s="233">
        <v>94339</v>
      </c>
      <c r="I52" s="233">
        <v>0</v>
      </c>
      <c r="J52" s="233">
        <v>94339</v>
      </c>
      <c r="K52" s="233">
        <v>0</v>
      </c>
      <c r="L52" s="233">
        <v>94339</v>
      </c>
      <c r="M52" s="172"/>
      <c r="N52" s="173">
        <f t="shared" si="22"/>
        <v>6720892</v>
      </c>
      <c r="O52" s="173">
        <f t="shared" si="23"/>
        <v>0</v>
      </c>
      <c r="P52" s="173">
        <f t="shared" si="24"/>
        <v>6815231</v>
      </c>
      <c r="Q52" s="174">
        <f t="shared" si="25"/>
        <v>0</v>
      </c>
      <c r="R52" s="174">
        <f t="shared" si="20"/>
        <v>6720892</v>
      </c>
      <c r="S52" s="174">
        <f t="shared" si="21"/>
        <v>94339</v>
      </c>
      <c r="T52" s="174">
        <f t="shared" si="21"/>
        <v>0</v>
      </c>
      <c r="U52" s="174">
        <f t="shared" si="21"/>
        <v>94339</v>
      </c>
      <c r="V52" s="165">
        <v>110</v>
      </c>
      <c r="W52" s="165">
        <f t="shared" si="26"/>
        <v>0</v>
      </c>
      <c r="X52" s="175" t="s">
        <v>5</v>
      </c>
      <c r="Y52" s="188">
        <v>0</v>
      </c>
      <c r="Z52" s="188"/>
      <c r="AA52" s="163">
        <f>W52/N60*100</f>
        <v>0</v>
      </c>
      <c r="AB52" s="163"/>
      <c r="AC52" s="164"/>
    </row>
    <row r="53" spans="2:29" ht="15">
      <c r="B53" s="231">
        <v>0</v>
      </c>
      <c r="C53" s="231">
        <v>0</v>
      </c>
      <c r="D53" s="231">
        <v>5432725</v>
      </c>
      <c r="E53" s="231">
        <v>5432725</v>
      </c>
      <c r="F53" s="231">
        <v>0</v>
      </c>
      <c r="G53" s="232"/>
      <c r="H53" s="233">
        <v>121920</v>
      </c>
      <c r="I53" s="233">
        <v>0</v>
      </c>
      <c r="J53" s="233">
        <v>121920</v>
      </c>
      <c r="K53" s="233">
        <v>0</v>
      </c>
      <c r="L53" s="233">
        <v>121920</v>
      </c>
      <c r="M53" s="172"/>
      <c r="N53" s="173">
        <f t="shared" si="22"/>
        <v>5432725</v>
      </c>
      <c r="O53" s="173">
        <f t="shared" si="23"/>
        <v>0</v>
      </c>
      <c r="P53" s="173">
        <f t="shared" si="24"/>
        <v>5554645</v>
      </c>
      <c r="Q53" s="174">
        <f t="shared" si="25"/>
        <v>0</v>
      </c>
      <c r="R53" s="174">
        <f t="shared" si="20"/>
        <v>5432725</v>
      </c>
      <c r="S53" s="174">
        <f t="shared" si="21"/>
        <v>121920</v>
      </c>
      <c r="T53" s="174">
        <f t="shared" si="21"/>
        <v>0</v>
      </c>
      <c r="U53" s="174">
        <f t="shared" si="21"/>
        <v>121920</v>
      </c>
      <c r="V53" s="165">
        <v>10</v>
      </c>
      <c r="W53" s="165">
        <f t="shared" si="26"/>
        <v>0</v>
      </c>
      <c r="X53" s="175" t="s">
        <v>5</v>
      </c>
      <c r="Y53" s="188">
        <v>0</v>
      </c>
      <c r="Z53" s="188">
        <v>0</v>
      </c>
      <c r="AA53" s="163">
        <f>W53/P60*100</f>
        <v>0</v>
      </c>
      <c r="AB53" s="163"/>
      <c r="AC53" s="164"/>
    </row>
    <row r="54" spans="2:29" ht="15">
      <c r="B54" s="231">
        <v>0</v>
      </c>
      <c r="C54" s="231">
        <v>0</v>
      </c>
      <c r="D54" s="231">
        <v>4754009</v>
      </c>
      <c r="E54" s="231">
        <v>4754009</v>
      </c>
      <c r="F54" s="231">
        <v>0</v>
      </c>
      <c r="G54" s="232"/>
      <c r="H54" s="233">
        <v>90226</v>
      </c>
      <c r="I54" s="233">
        <v>0</v>
      </c>
      <c r="J54" s="233">
        <v>90226</v>
      </c>
      <c r="K54" s="233">
        <v>0</v>
      </c>
      <c r="L54" s="233">
        <v>90226</v>
      </c>
      <c r="M54" s="172"/>
      <c r="N54" s="173">
        <f t="shared" si="22"/>
        <v>4754009</v>
      </c>
      <c r="O54" s="173">
        <f t="shared" si="23"/>
        <v>0</v>
      </c>
      <c r="P54" s="173">
        <f t="shared" si="24"/>
        <v>4844235</v>
      </c>
      <c r="Q54" s="174">
        <f t="shared" si="25"/>
        <v>0</v>
      </c>
      <c r="R54" s="174">
        <f t="shared" si="20"/>
        <v>4754009</v>
      </c>
      <c r="S54" s="174">
        <f t="shared" si="21"/>
        <v>90226</v>
      </c>
      <c r="T54" s="174">
        <f t="shared" si="21"/>
        <v>0</v>
      </c>
      <c r="U54" s="174">
        <f t="shared" si="21"/>
        <v>90226</v>
      </c>
      <c r="V54" s="176">
        <v>0.4</v>
      </c>
      <c r="W54" s="165">
        <f t="shared" si="26"/>
        <v>0</v>
      </c>
      <c r="X54" s="175" t="s">
        <v>5</v>
      </c>
      <c r="Y54" s="188"/>
      <c r="Z54" s="189">
        <f>K60</f>
        <v>0</v>
      </c>
      <c r="AA54" s="163">
        <f>W54/AA57/1000</f>
        <v>0</v>
      </c>
      <c r="AB54" s="163"/>
      <c r="AC54" s="164"/>
    </row>
    <row r="55" spans="2:29" ht="15">
      <c r="B55" s="231">
        <v>0</v>
      </c>
      <c r="C55" s="231">
        <v>0</v>
      </c>
      <c r="D55" s="231">
        <v>4984617</v>
      </c>
      <c r="E55" s="231">
        <v>4984617</v>
      </c>
      <c r="F55" s="231">
        <v>0</v>
      </c>
      <c r="G55" s="232"/>
      <c r="H55" s="233">
        <v>96658</v>
      </c>
      <c r="I55" s="233">
        <v>0</v>
      </c>
      <c r="J55" s="233">
        <v>96658</v>
      </c>
      <c r="K55" s="233">
        <v>0</v>
      </c>
      <c r="L55" s="233">
        <v>96658</v>
      </c>
      <c r="M55" s="172"/>
      <c r="N55" s="173">
        <f t="shared" si="22"/>
        <v>4984617</v>
      </c>
      <c r="O55" s="173">
        <f t="shared" si="23"/>
        <v>0</v>
      </c>
      <c r="P55" s="173">
        <f t="shared" si="24"/>
        <v>5081275</v>
      </c>
      <c r="Q55" s="174">
        <f t="shared" si="25"/>
        <v>0</v>
      </c>
      <c r="R55" s="174">
        <f t="shared" si="20"/>
        <v>4984617</v>
      </c>
      <c r="S55" s="174">
        <f t="shared" si="21"/>
        <v>96658</v>
      </c>
      <c r="T55" s="174">
        <f t="shared" si="21"/>
        <v>0</v>
      </c>
      <c r="U55" s="174">
        <f t="shared" si="21"/>
        <v>96658</v>
      </c>
      <c r="V55" s="165" t="s">
        <v>344</v>
      </c>
      <c r="W55" s="165"/>
      <c r="X55" s="175"/>
      <c r="Y55" s="188"/>
      <c r="Z55" s="188"/>
      <c r="AA55" s="163"/>
      <c r="AB55" s="163"/>
      <c r="AC55" s="164"/>
    </row>
    <row r="56" spans="2:29" ht="15">
      <c r="B56" s="231">
        <v>0</v>
      </c>
      <c r="C56" s="231">
        <v>0</v>
      </c>
      <c r="D56" s="231">
        <v>5798149</v>
      </c>
      <c r="E56" s="231">
        <v>5798149</v>
      </c>
      <c r="F56" s="231">
        <v>0</v>
      </c>
      <c r="G56" s="232"/>
      <c r="H56" s="233">
        <v>114845</v>
      </c>
      <c r="I56" s="233">
        <v>0</v>
      </c>
      <c r="J56" s="233">
        <v>114845</v>
      </c>
      <c r="K56" s="233">
        <v>0</v>
      </c>
      <c r="L56" s="233">
        <v>114845</v>
      </c>
      <c r="M56" s="172"/>
      <c r="N56" s="173">
        <f t="shared" si="22"/>
        <v>5798149</v>
      </c>
      <c r="O56" s="173">
        <f t="shared" si="23"/>
        <v>0</v>
      </c>
      <c r="P56" s="173">
        <f t="shared" si="24"/>
        <v>5912994</v>
      </c>
      <c r="Q56" s="174">
        <f t="shared" si="25"/>
        <v>0</v>
      </c>
      <c r="R56" s="174">
        <f t="shared" si="20"/>
        <v>5798149</v>
      </c>
      <c r="S56" s="174">
        <f t="shared" si="21"/>
        <v>114845</v>
      </c>
      <c r="T56" s="174">
        <f t="shared" si="21"/>
        <v>0</v>
      </c>
      <c r="U56" s="174">
        <f t="shared" si="21"/>
        <v>114845</v>
      </c>
      <c r="V56" s="165">
        <v>110</v>
      </c>
      <c r="W56" s="165">
        <f t="shared" si="26"/>
        <v>0</v>
      </c>
      <c r="X56" s="175" t="s">
        <v>5</v>
      </c>
      <c r="Y56" s="189">
        <v>0</v>
      </c>
      <c r="Z56" s="188"/>
      <c r="AA56" s="163" t="s">
        <v>171</v>
      </c>
      <c r="AB56" s="163"/>
      <c r="AC56" s="164"/>
    </row>
    <row r="57" spans="2:29" ht="15">
      <c r="B57" s="231">
        <v>0</v>
      </c>
      <c r="C57" s="231">
        <v>0</v>
      </c>
      <c r="D57" s="231">
        <v>8276603</v>
      </c>
      <c r="E57" s="231">
        <v>8276603</v>
      </c>
      <c r="F57" s="231">
        <v>0</v>
      </c>
      <c r="G57" s="232"/>
      <c r="H57" s="233">
        <v>227672</v>
      </c>
      <c r="I57" s="233">
        <v>0</v>
      </c>
      <c r="J57" s="233">
        <v>227672</v>
      </c>
      <c r="K57" s="233">
        <v>0</v>
      </c>
      <c r="L57" s="233">
        <v>227672</v>
      </c>
      <c r="M57" s="172"/>
      <c r="N57" s="173">
        <f t="shared" si="22"/>
        <v>8276603</v>
      </c>
      <c r="O57" s="173">
        <f t="shared" si="23"/>
        <v>0</v>
      </c>
      <c r="P57" s="173">
        <f t="shared" si="24"/>
        <v>8504275</v>
      </c>
      <c r="Q57" s="174">
        <f t="shared" si="25"/>
        <v>0</v>
      </c>
      <c r="R57" s="174">
        <f t="shared" si="20"/>
        <v>8276603</v>
      </c>
      <c r="S57" s="174">
        <f t="shared" si="21"/>
        <v>227672</v>
      </c>
      <c r="T57" s="174">
        <f t="shared" si="21"/>
        <v>0</v>
      </c>
      <c r="U57" s="174">
        <f t="shared" si="21"/>
        <v>227672</v>
      </c>
      <c r="V57" s="165">
        <v>10</v>
      </c>
      <c r="W57" s="165">
        <f t="shared" si="26"/>
        <v>0</v>
      </c>
      <c r="X57" s="175" t="s">
        <v>5</v>
      </c>
      <c r="Y57" s="189">
        <v>0</v>
      </c>
      <c r="Z57" s="189">
        <v>0</v>
      </c>
      <c r="AA57" s="163">
        <v>2.03</v>
      </c>
      <c r="AB57" s="163"/>
      <c r="AC57" s="164"/>
    </row>
    <row r="58" spans="2:29" ht="15">
      <c r="B58" s="231">
        <v>0</v>
      </c>
      <c r="C58" s="231">
        <v>0</v>
      </c>
      <c r="D58" s="231">
        <v>9597748</v>
      </c>
      <c r="E58" s="231">
        <v>9597748</v>
      </c>
      <c r="F58" s="231">
        <v>0</v>
      </c>
      <c r="G58" s="232"/>
      <c r="H58" s="233">
        <v>156785</v>
      </c>
      <c r="I58" s="233">
        <v>0</v>
      </c>
      <c r="J58" s="233">
        <v>156785</v>
      </c>
      <c r="K58" s="233">
        <v>0</v>
      </c>
      <c r="L58" s="233">
        <v>156785</v>
      </c>
      <c r="M58" s="172"/>
      <c r="N58" s="173">
        <f t="shared" si="22"/>
        <v>9597748</v>
      </c>
      <c r="O58" s="173">
        <f t="shared" si="23"/>
        <v>0</v>
      </c>
      <c r="P58" s="173">
        <f t="shared" si="24"/>
        <v>9754533</v>
      </c>
      <c r="Q58" s="174">
        <f t="shared" si="25"/>
        <v>0</v>
      </c>
      <c r="R58" s="174">
        <f t="shared" si="20"/>
        <v>9597748</v>
      </c>
      <c r="S58" s="174">
        <f t="shared" si="21"/>
        <v>156785</v>
      </c>
      <c r="T58" s="174">
        <f t="shared" si="21"/>
        <v>0</v>
      </c>
      <c r="U58" s="174">
        <f t="shared" si="21"/>
        <v>156785</v>
      </c>
      <c r="V58" s="176">
        <v>0.4</v>
      </c>
      <c r="W58" s="165">
        <f>Y58+Z58</f>
        <v>0</v>
      </c>
      <c r="X58" s="175" t="s">
        <v>5</v>
      </c>
      <c r="Y58" s="188"/>
      <c r="Z58" s="188">
        <v>0</v>
      </c>
      <c r="AA58" s="163"/>
      <c r="AB58" s="163"/>
      <c r="AC58" s="164"/>
    </row>
    <row r="59" spans="2:29" ht="15">
      <c r="B59" s="231">
        <v>0</v>
      </c>
      <c r="C59" s="231">
        <v>0</v>
      </c>
      <c r="D59" s="231">
        <v>10605728</v>
      </c>
      <c r="E59" s="231">
        <v>10605728</v>
      </c>
      <c r="F59" s="231">
        <v>0</v>
      </c>
      <c r="G59" s="232"/>
      <c r="H59" s="233">
        <v>94210</v>
      </c>
      <c r="I59" s="233">
        <v>0</v>
      </c>
      <c r="J59" s="233">
        <v>94210</v>
      </c>
      <c r="K59" s="233">
        <v>0</v>
      </c>
      <c r="L59" s="233">
        <v>94210</v>
      </c>
      <c r="M59" s="172"/>
      <c r="N59" s="173">
        <f t="shared" si="22"/>
        <v>10605728</v>
      </c>
      <c r="O59" s="173">
        <f t="shared" si="23"/>
        <v>0</v>
      </c>
      <c r="P59" s="173">
        <f t="shared" si="24"/>
        <v>10699938</v>
      </c>
      <c r="Q59" s="174">
        <f t="shared" si="25"/>
        <v>0</v>
      </c>
      <c r="R59" s="174">
        <f t="shared" si="20"/>
        <v>10605728</v>
      </c>
      <c r="S59" s="174">
        <f t="shared" si="21"/>
        <v>94210</v>
      </c>
      <c r="T59" s="174">
        <f t="shared" si="21"/>
        <v>0</v>
      </c>
      <c r="U59" s="174">
        <f t="shared" si="21"/>
        <v>94210</v>
      </c>
      <c r="V59" s="177" t="s">
        <v>220</v>
      </c>
      <c r="W59" s="178">
        <v>12.78</v>
      </c>
      <c r="X59" s="179" t="s">
        <v>4</v>
      </c>
      <c r="Y59" s="163"/>
      <c r="Z59" s="191">
        <v>13784.6</v>
      </c>
      <c r="AA59" s="191">
        <v>12154.8</v>
      </c>
      <c r="AB59" s="163"/>
      <c r="AC59" s="164"/>
    </row>
    <row r="60" spans="2:29" ht="15">
      <c r="B60" s="234">
        <f>SUM(B48:B59)</f>
        <v>0</v>
      </c>
      <c r="C60" s="234">
        <f>SUM(C48:C59)</f>
        <v>0</v>
      </c>
      <c r="D60" s="234">
        <f>SUM(D48:D59)</f>
        <v>94607208</v>
      </c>
      <c r="E60" s="234">
        <f>SUM(E48:E59)</f>
        <v>94607208</v>
      </c>
      <c r="F60" s="234">
        <f>SUM(F48:F59)</f>
        <v>0</v>
      </c>
      <c r="G60" s="235"/>
      <c r="H60" s="235">
        <f>SUM(H48:H59)</f>
        <v>1382792</v>
      </c>
      <c r="I60" s="235">
        <f>SUM(I48:I59)</f>
        <v>0</v>
      </c>
      <c r="J60" s="235">
        <f>SUM(J48:J59)</f>
        <v>1382792</v>
      </c>
      <c r="K60" s="235">
        <f>SUM(K48:K59)</f>
        <v>0</v>
      </c>
      <c r="L60" s="235">
        <f>SUM(L48:L59)</f>
        <v>1382792</v>
      </c>
      <c r="M60" s="181"/>
      <c r="N60" s="181">
        <f aca="true" t="shared" si="27" ref="N60:U60">SUM(N48:N59)</f>
        <v>94607208</v>
      </c>
      <c r="O60" s="181">
        <f t="shared" si="27"/>
        <v>0</v>
      </c>
      <c r="P60" s="181">
        <f t="shared" si="27"/>
        <v>95990000</v>
      </c>
      <c r="Q60" s="181">
        <f t="shared" si="27"/>
        <v>0</v>
      </c>
      <c r="R60" s="181">
        <f t="shared" si="27"/>
        <v>94607208</v>
      </c>
      <c r="S60" s="181">
        <f t="shared" si="27"/>
        <v>1382792</v>
      </c>
      <c r="T60" s="181">
        <f t="shared" si="27"/>
        <v>0</v>
      </c>
      <c r="U60" s="181">
        <f t="shared" si="27"/>
        <v>1382792</v>
      </c>
      <c r="V60" s="178" t="s">
        <v>158</v>
      </c>
      <c r="W60" s="220">
        <v>0.1869243665204713</v>
      </c>
      <c r="X60" s="221">
        <f>H60/8760/1000*W59/W80</f>
        <v>0.18679424256976276</v>
      </c>
      <c r="Y60" s="219" t="s">
        <v>226</v>
      </c>
      <c r="Z60" s="191">
        <f>(Z59+AA59)/2/1000</f>
        <v>12.969700000000001</v>
      </c>
      <c r="AA60" s="240" t="s">
        <v>236</v>
      </c>
      <c r="AB60" s="164"/>
      <c r="AC60" s="185">
        <v>12.9697</v>
      </c>
    </row>
    <row r="61" spans="15:29" ht="15">
      <c r="O61" s="241" t="s">
        <v>237</v>
      </c>
      <c r="U61" s="178" t="s">
        <v>221</v>
      </c>
      <c r="V61" s="178" t="s">
        <v>343</v>
      </c>
      <c r="W61" s="178">
        <v>0.5</v>
      </c>
      <c r="AC61" s="42"/>
    </row>
    <row r="62" spans="2:29" ht="14.25" customHeight="1">
      <c r="B62" s="631" t="s">
        <v>232</v>
      </c>
      <c r="C62" s="631"/>
      <c r="D62" s="631"/>
      <c r="E62" s="631"/>
      <c r="F62" s="631"/>
      <c r="G62" s="162"/>
      <c r="H62" s="237" t="s">
        <v>233</v>
      </c>
      <c r="I62" s="186"/>
      <c r="J62" s="186"/>
      <c r="K62" s="186"/>
      <c r="L62" s="186"/>
      <c r="M62" s="163"/>
      <c r="N62" s="187" t="s">
        <v>149</v>
      </c>
      <c r="O62" s="187" t="s">
        <v>150</v>
      </c>
      <c r="P62" s="187" t="s">
        <v>143</v>
      </c>
      <c r="Q62" s="187" t="s">
        <v>151</v>
      </c>
      <c r="R62" s="187" t="s">
        <v>152</v>
      </c>
      <c r="S62" s="187" t="s">
        <v>146</v>
      </c>
      <c r="T62" s="187" t="s">
        <v>153</v>
      </c>
      <c r="U62" s="187" t="s">
        <v>147</v>
      </c>
      <c r="V62" s="163"/>
      <c r="W62" s="163"/>
      <c r="X62" s="163"/>
      <c r="Y62" s="163"/>
      <c r="Z62" s="163"/>
      <c r="AA62" s="163"/>
      <c r="AB62" s="163"/>
      <c r="AC62" s="303" t="s">
        <v>229</v>
      </c>
    </row>
    <row r="63" spans="2:29" ht="45">
      <c r="B63" s="238" t="s">
        <v>265</v>
      </c>
      <c r="C63" s="238" t="s">
        <v>266</v>
      </c>
      <c r="D63" s="238" t="s">
        <v>267</v>
      </c>
      <c r="E63" s="238" t="s">
        <v>268</v>
      </c>
      <c r="F63" s="238" t="s">
        <v>269</v>
      </c>
      <c r="G63" s="229"/>
      <c r="H63" s="238" t="s">
        <v>143</v>
      </c>
      <c r="I63" s="238" t="s">
        <v>144</v>
      </c>
      <c r="J63" s="238" t="s">
        <v>146</v>
      </c>
      <c r="K63" s="238" t="s">
        <v>145</v>
      </c>
      <c r="L63" s="238" t="s">
        <v>147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4"/>
    </row>
    <row r="64" spans="2:30" ht="15">
      <c r="B64" s="239" t="s">
        <v>348</v>
      </c>
      <c r="C64" s="239" t="s">
        <v>348</v>
      </c>
      <c r="D64" s="239" t="s">
        <v>348</v>
      </c>
      <c r="E64" s="239" t="s">
        <v>348</v>
      </c>
      <c r="F64" s="239" t="s">
        <v>348</v>
      </c>
      <c r="G64" s="230"/>
      <c r="H64" s="239"/>
      <c r="I64" s="239"/>
      <c r="J64" s="239"/>
      <c r="K64" s="239"/>
      <c r="L64" s="239"/>
      <c r="M64" s="163"/>
      <c r="N64" s="163"/>
      <c r="O64" s="163"/>
      <c r="P64" s="163"/>
      <c r="Q64" s="163"/>
      <c r="R64" s="163"/>
      <c r="S64" s="163"/>
      <c r="T64" s="163"/>
      <c r="U64" s="163"/>
      <c r="V64" s="165" t="s">
        <v>345</v>
      </c>
      <c r="W64" s="166"/>
      <c r="X64" s="167"/>
      <c r="Y64" s="297" t="s">
        <v>159</v>
      </c>
      <c r="Z64" s="297" t="s">
        <v>160</v>
      </c>
      <c r="AA64" s="163" t="s">
        <v>170</v>
      </c>
      <c r="AB64" s="278"/>
      <c r="AC64" s="275" t="s">
        <v>457</v>
      </c>
      <c r="AD64" s="276" t="s">
        <v>461</v>
      </c>
    </row>
    <row r="65" spans="2:30" ht="15">
      <c r="B65" s="197">
        <v>71905.78788742589</v>
      </c>
      <c r="C65" s="197">
        <v>3776.18457806777</v>
      </c>
      <c r="D65" s="197">
        <v>12031012.212112574</v>
      </c>
      <c r="E65" s="197">
        <v>12003891</v>
      </c>
      <c r="F65" s="197">
        <v>23345.027534506327</v>
      </c>
      <c r="G65" s="232"/>
      <c r="H65" s="168">
        <v>70432.60986474082</v>
      </c>
      <c r="I65" s="168">
        <v>1788.9068247408322</v>
      </c>
      <c r="J65" s="168">
        <v>68643.70304</v>
      </c>
      <c r="K65" s="168">
        <v>732.0070996223329</v>
      </c>
      <c r="L65" s="168">
        <v>67911.74689928177</v>
      </c>
      <c r="M65" s="172"/>
      <c r="N65" s="173">
        <f>B65+D65</f>
        <v>12102918</v>
      </c>
      <c r="O65" s="173">
        <f>B65</f>
        <v>71905.78788742589</v>
      </c>
      <c r="P65" s="173">
        <f>D65+H65</f>
        <v>12101444.821977315</v>
      </c>
      <c r="Q65" s="174">
        <f>C65+F65+I65</f>
        <v>28910.11893731493</v>
      </c>
      <c r="R65" s="174">
        <f aca="true" t="shared" si="28" ref="R65:R76">E65</f>
        <v>12003891</v>
      </c>
      <c r="S65" s="174">
        <f aca="true" t="shared" si="29" ref="S65:S76">J65</f>
        <v>68643.70304</v>
      </c>
      <c r="T65" s="174">
        <f aca="true" t="shared" si="30" ref="T65:T76">K65</f>
        <v>732.0070996223329</v>
      </c>
      <c r="U65" s="174">
        <f aca="true" t="shared" si="31" ref="U65:U76">L65</f>
        <v>67911.74689928177</v>
      </c>
      <c r="V65" s="299">
        <v>110</v>
      </c>
      <c r="W65" s="299">
        <f>Y65+Z65</f>
        <v>253251</v>
      </c>
      <c r="X65" s="175" t="s">
        <v>5</v>
      </c>
      <c r="Y65" s="297">
        <v>253251</v>
      </c>
      <c r="Z65" s="297"/>
      <c r="AA65" s="163"/>
      <c r="AB65" s="278"/>
      <c r="AC65" s="164">
        <v>16.9427</v>
      </c>
      <c r="AD65" s="276">
        <f aca="true" t="shared" si="32" ref="AD65:AD76">ROUND($AD$77/$AC$77*AC65,4)</f>
        <v>19.6734</v>
      </c>
    </row>
    <row r="66" spans="2:30" ht="15">
      <c r="B66" s="197">
        <v>62101.73919517392</v>
      </c>
      <c r="C66" s="197">
        <v>3572.638385634839</v>
      </c>
      <c r="D66" s="197">
        <v>8882318.260804826</v>
      </c>
      <c r="E66" s="197">
        <v>8857928</v>
      </c>
      <c r="F66" s="197">
        <v>20817.62241919125</v>
      </c>
      <c r="G66" s="232"/>
      <c r="H66" s="168">
        <v>74415.22593800626</v>
      </c>
      <c r="I66" s="168">
        <v>1766.3859380062286</v>
      </c>
      <c r="J66" s="168">
        <v>72648.84000000003</v>
      </c>
      <c r="K66" s="168">
        <v>844.8626686890736</v>
      </c>
      <c r="L66" s="168">
        <v>71804.02500254383</v>
      </c>
      <c r="M66" s="172"/>
      <c r="N66" s="173">
        <f aca="true" t="shared" si="33" ref="N66:N76">B66+D66</f>
        <v>8944420</v>
      </c>
      <c r="O66" s="173">
        <f aca="true" t="shared" si="34" ref="O66:O76">B66</f>
        <v>62101.73919517392</v>
      </c>
      <c r="P66" s="173">
        <f aca="true" t="shared" si="35" ref="P66:P76">D66+H66</f>
        <v>8956733.486742832</v>
      </c>
      <c r="Q66" s="174">
        <f aca="true" t="shared" si="36" ref="Q66:Q76">C66+F66+I66</f>
        <v>26156.64674283232</v>
      </c>
      <c r="R66" s="174">
        <f t="shared" si="28"/>
        <v>8857928</v>
      </c>
      <c r="S66" s="174">
        <f t="shared" si="29"/>
        <v>72648.84000000003</v>
      </c>
      <c r="T66" s="174">
        <f t="shared" si="30"/>
        <v>844.8626686890736</v>
      </c>
      <c r="U66" s="174">
        <f t="shared" si="31"/>
        <v>71804.02500254383</v>
      </c>
      <c r="V66" s="299">
        <v>10</v>
      </c>
      <c r="W66" s="299">
        <f>Y66+Z66</f>
        <v>166316</v>
      </c>
      <c r="X66" s="175" t="s">
        <v>5</v>
      </c>
      <c r="Y66" s="297">
        <v>150078</v>
      </c>
      <c r="Z66" s="301">
        <v>16238</v>
      </c>
      <c r="AA66" s="163"/>
      <c r="AB66" s="278"/>
      <c r="AC66" s="164">
        <v>13.975</v>
      </c>
      <c r="AD66" s="276">
        <f t="shared" si="32"/>
        <v>16.2274</v>
      </c>
    </row>
    <row r="67" spans="2:30" ht="15">
      <c r="B67" s="197">
        <v>54564.191479147936</v>
      </c>
      <c r="C67" s="197">
        <v>3166.937056372611</v>
      </c>
      <c r="D67" s="197">
        <v>8938576.808520852</v>
      </c>
      <c r="E67" s="197">
        <v>8914165</v>
      </c>
      <c r="F67" s="197">
        <v>21244.871464479427</v>
      </c>
      <c r="G67" s="232"/>
      <c r="H67" s="168">
        <v>91628.70566163359</v>
      </c>
      <c r="I67" s="168">
        <v>2059.9032616334935</v>
      </c>
      <c r="J67" s="168">
        <v>89568.8024000001</v>
      </c>
      <c r="K67" s="168">
        <v>1005.5796713549973</v>
      </c>
      <c r="L67" s="168">
        <v>88563.27368754921</v>
      </c>
      <c r="M67" s="172"/>
      <c r="N67" s="173">
        <f t="shared" si="33"/>
        <v>8993141</v>
      </c>
      <c r="O67" s="173">
        <f t="shared" si="34"/>
        <v>54564.191479147936</v>
      </c>
      <c r="P67" s="173">
        <f t="shared" si="35"/>
        <v>9030205.514182486</v>
      </c>
      <c r="Q67" s="174">
        <f t="shared" si="36"/>
        <v>26471.71178248553</v>
      </c>
      <c r="R67" s="174">
        <f t="shared" si="28"/>
        <v>8914165</v>
      </c>
      <c r="S67" s="174">
        <f t="shared" si="29"/>
        <v>89568.8024000001</v>
      </c>
      <c r="T67" s="174">
        <f t="shared" si="30"/>
        <v>1005.5796713549973</v>
      </c>
      <c r="U67" s="174">
        <f t="shared" si="31"/>
        <v>88563.27368754921</v>
      </c>
      <c r="V67" s="300">
        <v>0.4</v>
      </c>
      <c r="W67" s="299">
        <f>Y67+Z67</f>
        <v>0</v>
      </c>
      <c r="X67" s="175" t="s">
        <v>5</v>
      </c>
      <c r="Y67" s="297"/>
      <c r="Z67" s="301"/>
      <c r="AA67" s="163"/>
      <c r="AB67" s="278"/>
      <c r="AC67" s="164">
        <v>13.1931</v>
      </c>
      <c r="AD67" s="276">
        <f t="shared" si="32"/>
        <v>15.3195</v>
      </c>
    </row>
    <row r="68" spans="2:30" ht="15">
      <c r="B68" s="197">
        <v>19295.429393092352</v>
      </c>
      <c r="C68" s="197">
        <v>1195.8652049585444</v>
      </c>
      <c r="D68" s="197">
        <v>7016756.570606908</v>
      </c>
      <c r="E68" s="197">
        <v>7002309</v>
      </c>
      <c r="F68" s="197">
        <v>13251.705401949112</v>
      </c>
      <c r="G68" s="232"/>
      <c r="H68" s="168">
        <v>63813.97799345965</v>
      </c>
      <c r="I68" s="168">
        <v>1679.1808734596327</v>
      </c>
      <c r="J68" s="168">
        <v>62134.79712000002</v>
      </c>
      <c r="K68" s="168">
        <v>491.44282540614586</v>
      </c>
      <c r="L68" s="168">
        <v>61643.40360966237</v>
      </c>
      <c r="M68" s="172"/>
      <c r="N68" s="173">
        <f t="shared" si="33"/>
        <v>7036052</v>
      </c>
      <c r="O68" s="173">
        <f t="shared" si="34"/>
        <v>19295.429393092352</v>
      </c>
      <c r="P68" s="173">
        <f t="shared" si="35"/>
        <v>7080570.548600367</v>
      </c>
      <c r="Q68" s="174">
        <f t="shared" si="36"/>
        <v>16126.751480367288</v>
      </c>
      <c r="R68" s="174">
        <f t="shared" si="28"/>
        <v>7002309</v>
      </c>
      <c r="S68" s="174">
        <f t="shared" si="29"/>
        <v>62134.79712000002</v>
      </c>
      <c r="T68" s="174">
        <f t="shared" si="30"/>
        <v>491.44282540614586</v>
      </c>
      <c r="U68" s="174">
        <f t="shared" si="31"/>
        <v>61643.40360966237</v>
      </c>
      <c r="V68" s="165" t="s">
        <v>346</v>
      </c>
      <c r="W68" s="165"/>
      <c r="X68" s="175"/>
      <c r="Y68" s="297"/>
      <c r="Z68" s="301"/>
      <c r="AA68" s="163"/>
      <c r="AB68" s="278"/>
      <c r="AC68" s="164">
        <v>10.6069</v>
      </c>
      <c r="AD68" s="276">
        <f t="shared" si="32"/>
        <v>12.3165</v>
      </c>
    </row>
    <row r="69" spans="2:30" ht="15">
      <c r="B69" s="197">
        <v>0</v>
      </c>
      <c r="C69" s="197">
        <v>0</v>
      </c>
      <c r="D69" s="197">
        <v>4905137</v>
      </c>
      <c r="E69" s="197">
        <v>4905137</v>
      </c>
      <c r="F69" s="197">
        <v>0</v>
      </c>
      <c r="G69" s="232"/>
      <c r="H69" s="168">
        <v>55138.12004508482</v>
      </c>
      <c r="I69" s="168">
        <v>1664.9341250848017</v>
      </c>
      <c r="J69" s="168">
        <v>53473.18592000002</v>
      </c>
      <c r="K69" s="168">
        <v>421.62824919948247</v>
      </c>
      <c r="L69" s="168">
        <v>53051.60862970464</v>
      </c>
      <c r="M69" s="172"/>
      <c r="N69" s="173">
        <f t="shared" si="33"/>
        <v>4905137</v>
      </c>
      <c r="O69" s="173">
        <f t="shared" si="34"/>
        <v>0</v>
      </c>
      <c r="P69" s="173">
        <f t="shared" si="35"/>
        <v>4960275.1200450845</v>
      </c>
      <c r="Q69" s="174">
        <f t="shared" si="36"/>
        <v>1664.9341250848017</v>
      </c>
      <c r="R69" s="174">
        <f t="shared" si="28"/>
        <v>4905137</v>
      </c>
      <c r="S69" s="174">
        <f t="shared" si="29"/>
        <v>53473.18592000002</v>
      </c>
      <c r="T69" s="174">
        <f t="shared" si="30"/>
        <v>421.62824919948247</v>
      </c>
      <c r="U69" s="174">
        <f t="shared" si="31"/>
        <v>53051.60862970464</v>
      </c>
      <c r="V69" s="299">
        <v>110</v>
      </c>
      <c r="W69" s="299">
        <f>Y69+Z69</f>
        <v>64864</v>
      </c>
      <c r="X69" s="175" t="s">
        <v>5</v>
      </c>
      <c r="Y69" s="297">
        <v>64864</v>
      </c>
      <c r="Z69" s="301"/>
      <c r="AA69" s="163">
        <f>W69/N77*100</f>
        <v>0.07254303417771826</v>
      </c>
      <c r="AB69" s="278"/>
      <c r="AC69" s="164">
        <v>6.8998</v>
      </c>
      <c r="AD69" s="276">
        <f t="shared" si="32"/>
        <v>8.0119</v>
      </c>
    </row>
    <row r="70" spans="2:30" ht="15">
      <c r="B70" s="197">
        <v>19699.08151978444</v>
      </c>
      <c r="C70" s="197">
        <v>1310.3542697820922</v>
      </c>
      <c r="D70" s="197">
        <v>4745819.918480216</v>
      </c>
      <c r="E70" s="197">
        <v>4738797</v>
      </c>
      <c r="F70" s="197">
        <v>5712.564210433478</v>
      </c>
      <c r="G70" s="232"/>
      <c r="H70" s="168">
        <v>69153.75447450283</v>
      </c>
      <c r="I70" s="168">
        <v>1765.823754502916</v>
      </c>
      <c r="J70" s="168">
        <v>67387.93071999992</v>
      </c>
      <c r="K70" s="168">
        <v>624.1385695576241</v>
      </c>
      <c r="L70" s="168">
        <v>66763.84146551078</v>
      </c>
      <c r="M70" s="172"/>
      <c r="N70" s="173">
        <f t="shared" si="33"/>
        <v>4765519</v>
      </c>
      <c r="O70" s="173">
        <f t="shared" si="34"/>
        <v>19699.08151978444</v>
      </c>
      <c r="P70" s="173">
        <f t="shared" si="35"/>
        <v>4814973.672954719</v>
      </c>
      <c r="Q70" s="174">
        <f t="shared" si="36"/>
        <v>8788.742234718487</v>
      </c>
      <c r="R70" s="174">
        <f t="shared" si="28"/>
        <v>4738797</v>
      </c>
      <c r="S70" s="174">
        <f t="shared" si="29"/>
        <v>67387.93071999992</v>
      </c>
      <c r="T70" s="174">
        <f t="shared" si="30"/>
        <v>624.1385695576241</v>
      </c>
      <c r="U70" s="174">
        <f t="shared" si="31"/>
        <v>66763.84146551078</v>
      </c>
      <c r="V70" s="299">
        <v>10</v>
      </c>
      <c r="W70" s="299">
        <f>Y70+Z70</f>
        <v>6123</v>
      </c>
      <c r="X70" s="175" t="s">
        <v>5</v>
      </c>
      <c r="Y70" s="297">
        <v>116</v>
      </c>
      <c r="Z70" s="301">
        <v>6007</v>
      </c>
      <c r="AA70" s="163">
        <f>W70/P77*100</f>
        <v>0.0068041587931556785</v>
      </c>
      <c r="AB70" s="278"/>
      <c r="AC70" s="164">
        <v>7.2786</v>
      </c>
      <c r="AD70" s="276">
        <f t="shared" si="32"/>
        <v>8.4517</v>
      </c>
    </row>
    <row r="71" spans="2:30" ht="15">
      <c r="B71" s="197">
        <v>21178.83322640227</v>
      </c>
      <c r="C71" s="197">
        <v>1411.5657769932404</v>
      </c>
      <c r="D71" s="197">
        <v>4990450.166773598</v>
      </c>
      <c r="E71" s="197">
        <v>4986680</v>
      </c>
      <c r="F71" s="197">
        <v>2358.600996604489</v>
      </c>
      <c r="G71" s="232"/>
      <c r="H71" s="168">
        <v>73991.93476472201</v>
      </c>
      <c r="I71" s="168">
        <v>1886.3170047220442</v>
      </c>
      <c r="J71" s="168">
        <v>72105.61775999996</v>
      </c>
      <c r="K71" s="168">
        <v>737.220886641723</v>
      </c>
      <c r="L71" s="168">
        <v>71368.44783226235</v>
      </c>
      <c r="M71" s="172"/>
      <c r="N71" s="173">
        <f t="shared" si="33"/>
        <v>5011629</v>
      </c>
      <c r="O71" s="173">
        <f t="shared" si="34"/>
        <v>21178.83322640227</v>
      </c>
      <c r="P71" s="173">
        <f t="shared" si="35"/>
        <v>5064442.10153832</v>
      </c>
      <c r="Q71" s="174">
        <f t="shared" si="36"/>
        <v>5656.483778319774</v>
      </c>
      <c r="R71" s="174">
        <f t="shared" si="28"/>
        <v>4986680</v>
      </c>
      <c r="S71" s="174">
        <f t="shared" si="29"/>
        <v>72105.61775999996</v>
      </c>
      <c r="T71" s="174">
        <f t="shared" si="30"/>
        <v>737.220886641723</v>
      </c>
      <c r="U71" s="174">
        <f t="shared" si="31"/>
        <v>71368.44783226235</v>
      </c>
      <c r="V71" s="300">
        <v>0.4</v>
      </c>
      <c r="W71" s="299">
        <f>Y71+Z71</f>
        <v>8846</v>
      </c>
      <c r="X71" s="175" t="s">
        <v>5</v>
      </c>
      <c r="Y71" s="297"/>
      <c r="Z71" s="302">
        <v>8846</v>
      </c>
      <c r="AA71" s="163">
        <f>W71/AA74/1000</f>
        <v>4.357635467980296</v>
      </c>
      <c r="AB71" s="278"/>
      <c r="AC71" s="164">
        <v>7.9017</v>
      </c>
      <c r="AD71" s="276">
        <f t="shared" si="32"/>
        <v>9.1753</v>
      </c>
    </row>
    <row r="72" spans="2:30" ht="15">
      <c r="B72" s="197">
        <v>0</v>
      </c>
      <c r="C72" s="197">
        <v>0</v>
      </c>
      <c r="D72" s="197">
        <v>5076519</v>
      </c>
      <c r="E72" s="197">
        <v>5076519</v>
      </c>
      <c r="F72" s="197">
        <v>0</v>
      </c>
      <c r="G72" s="232"/>
      <c r="H72" s="168">
        <v>79842.00076217999</v>
      </c>
      <c r="I72" s="168">
        <v>1960.7898821799854</v>
      </c>
      <c r="J72" s="168">
        <v>77881.21088</v>
      </c>
      <c r="K72" s="168">
        <v>821.2954421533217</v>
      </c>
      <c r="L72" s="168">
        <v>77059.96639675078</v>
      </c>
      <c r="M72" s="172"/>
      <c r="N72" s="173">
        <f t="shared" si="33"/>
        <v>5076519</v>
      </c>
      <c r="O72" s="173">
        <f t="shared" si="34"/>
        <v>0</v>
      </c>
      <c r="P72" s="173">
        <f t="shared" si="35"/>
        <v>5156361.00076218</v>
      </c>
      <c r="Q72" s="174">
        <f t="shared" si="36"/>
        <v>1960.7898821799854</v>
      </c>
      <c r="R72" s="174">
        <f t="shared" si="28"/>
        <v>5076519</v>
      </c>
      <c r="S72" s="174">
        <f t="shared" si="29"/>
        <v>77881.21088</v>
      </c>
      <c r="T72" s="174">
        <f t="shared" si="30"/>
        <v>821.2954421533217</v>
      </c>
      <c r="U72" s="174">
        <f t="shared" si="31"/>
        <v>77059.96639675078</v>
      </c>
      <c r="V72" s="165" t="s">
        <v>344</v>
      </c>
      <c r="W72" s="165"/>
      <c r="X72" s="175"/>
      <c r="Y72" s="297"/>
      <c r="Z72" s="301"/>
      <c r="AA72" s="163"/>
      <c r="AB72" s="278"/>
      <c r="AC72" s="164">
        <v>7.8851</v>
      </c>
      <c r="AD72" s="276">
        <f t="shared" si="32"/>
        <v>9.156</v>
      </c>
    </row>
    <row r="73" spans="2:30" ht="15">
      <c r="B73" s="197">
        <v>0</v>
      </c>
      <c r="C73" s="197">
        <v>0</v>
      </c>
      <c r="D73" s="197">
        <v>5369572</v>
      </c>
      <c r="E73" s="197">
        <v>5369572</v>
      </c>
      <c r="F73" s="197">
        <v>0</v>
      </c>
      <c r="G73" s="232"/>
      <c r="H73" s="168">
        <v>84280.63159816766</v>
      </c>
      <c r="I73" s="168">
        <v>2037.4296781676348</v>
      </c>
      <c r="J73" s="168">
        <v>82243.20192000002</v>
      </c>
      <c r="K73" s="168">
        <v>1000.3684981358363</v>
      </c>
      <c r="L73" s="168">
        <v>81242.88273693269</v>
      </c>
      <c r="M73" s="172"/>
      <c r="N73" s="173">
        <f t="shared" si="33"/>
        <v>5369572</v>
      </c>
      <c r="O73" s="173">
        <f t="shared" si="34"/>
        <v>0</v>
      </c>
      <c r="P73" s="173">
        <f t="shared" si="35"/>
        <v>5453852.631598168</v>
      </c>
      <c r="Q73" s="174">
        <f t="shared" si="36"/>
        <v>2037.4296781676348</v>
      </c>
      <c r="R73" s="174">
        <f t="shared" si="28"/>
        <v>5369572</v>
      </c>
      <c r="S73" s="174">
        <f t="shared" si="29"/>
        <v>82243.20192000002</v>
      </c>
      <c r="T73" s="174">
        <f t="shared" si="30"/>
        <v>1000.3684981358363</v>
      </c>
      <c r="U73" s="174">
        <f t="shared" si="31"/>
        <v>81242.88273693269</v>
      </c>
      <c r="V73" s="299">
        <v>110</v>
      </c>
      <c r="W73" s="299">
        <f>Y73+Z73</f>
        <v>0</v>
      </c>
      <c r="X73" s="175" t="s">
        <v>5</v>
      </c>
      <c r="Y73" s="298"/>
      <c r="Z73" s="301"/>
      <c r="AA73" s="163" t="s">
        <v>171</v>
      </c>
      <c r="AB73" s="278"/>
      <c r="AC73" s="164">
        <v>8.825</v>
      </c>
      <c r="AD73" s="276">
        <f t="shared" si="32"/>
        <v>10.2474</v>
      </c>
    </row>
    <row r="74" spans="2:30" ht="15">
      <c r="B74" s="197">
        <v>0</v>
      </c>
      <c r="C74" s="197">
        <v>0</v>
      </c>
      <c r="D74" s="197">
        <v>7731244</v>
      </c>
      <c r="E74" s="197">
        <v>7731244</v>
      </c>
      <c r="F74" s="197">
        <v>0</v>
      </c>
      <c r="G74" s="232"/>
      <c r="H74" s="168">
        <v>86846.34720352801</v>
      </c>
      <c r="I74" s="168">
        <v>2022.9430435280565</v>
      </c>
      <c r="J74" s="168">
        <v>84823.40415999996</v>
      </c>
      <c r="K74" s="168">
        <v>1096.54720226157</v>
      </c>
      <c r="L74" s="168">
        <v>83726.90791664249</v>
      </c>
      <c r="M74" s="172"/>
      <c r="N74" s="173">
        <f t="shared" si="33"/>
        <v>7731244</v>
      </c>
      <c r="O74" s="173">
        <f t="shared" si="34"/>
        <v>0</v>
      </c>
      <c r="P74" s="173">
        <f t="shared" si="35"/>
        <v>7818090.347203528</v>
      </c>
      <c r="Q74" s="174">
        <f t="shared" si="36"/>
        <v>2022.9430435280565</v>
      </c>
      <c r="R74" s="174">
        <f t="shared" si="28"/>
        <v>7731244</v>
      </c>
      <c r="S74" s="174">
        <f t="shared" si="29"/>
        <v>84823.40415999996</v>
      </c>
      <c r="T74" s="174">
        <f t="shared" si="30"/>
        <v>1096.54720226157</v>
      </c>
      <c r="U74" s="174">
        <f t="shared" si="31"/>
        <v>83726.90791664249</v>
      </c>
      <c r="V74" s="299">
        <v>10</v>
      </c>
      <c r="W74" s="299">
        <f>Y74+Z74</f>
        <v>98</v>
      </c>
      <c r="X74" s="175" t="s">
        <v>5</v>
      </c>
      <c r="Y74" s="298">
        <v>98</v>
      </c>
      <c r="Z74" s="302"/>
      <c r="AA74" s="163">
        <v>2.03</v>
      </c>
      <c r="AB74" s="278"/>
      <c r="AC74" s="164">
        <v>11.7675</v>
      </c>
      <c r="AD74" s="276">
        <f t="shared" si="32"/>
        <v>13.6641</v>
      </c>
    </row>
    <row r="75" spans="2:30" ht="15">
      <c r="B75" s="197">
        <v>23733.258884568888</v>
      </c>
      <c r="C75" s="197">
        <v>1335.9990772426504</v>
      </c>
      <c r="D75" s="197">
        <v>9377248.74111543</v>
      </c>
      <c r="E75" s="197">
        <v>9353754</v>
      </c>
      <c r="F75" s="197">
        <v>22158.742038188473</v>
      </c>
      <c r="G75" s="232"/>
      <c r="H75" s="168">
        <v>68075.5725486206</v>
      </c>
      <c r="I75" s="168">
        <v>1764.2426286206683</v>
      </c>
      <c r="J75" s="168">
        <v>66311.32991999995</v>
      </c>
      <c r="K75" s="168">
        <v>719.7901023741339</v>
      </c>
      <c r="L75" s="168">
        <v>65591.58913269431</v>
      </c>
      <c r="M75" s="172"/>
      <c r="N75" s="173">
        <f t="shared" si="33"/>
        <v>9400982</v>
      </c>
      <c r="O75" s="173">
        <f t="shared" si="34"/>
        <v>23733.258884568888</v>
      </c>
      <c r="P75" s="173">
        <f t="shared" si="35"/>
        <v>9445324.31366405</v>
      </c>
      <c r="Q75" s="174">
        <f t="shared" si="36"/>
        <v>25258.98374405179</v>
      </c>
      <c r="R75" s="174">
        <f t="shared" si="28"/>
        <v>9353754</v>
      </c>
      <c r="S75" s="174">
        <f t="shared" si="29"/>
        <v>66311.32991999995</v>
      </c>
      <c r="T75" s="174">
        <f t="shared" si="30"/>
        <v>719.7901023741339</v>
      </c>
      <c r="U75" s="174">
        <f t="shared" si="31"/>
        <v>65591.58913269431</v>
      </c>
      <c r="V75" s="300">
        <v>0.4</v>
      </c>
      <c r="W75" s="299">
        <f>Y75+Z75</f>
        <v>480</v>
      </c>
      <c r="X75" s="175" t="s">
        <v>5</v>
      </c>
      <c r="Y75" s="297"/>
      <c r="Z75" s="301">
        <v>480</v>
      </c>
      <c r="AA75" s="163"/>
      <c r="AB75" s="278"/>
      <c r="AC75" s="164">
        <v>14.1547</v>
      </c>
      <c r="AD75" s="276">
        <f t="shared" si="32"/>
        <v>16.4361</v>
      </c>
    </row>
    <row r="76" spans="2:30" ht="15">
      <c r="B76" s="197">
        <v>45636.891552159934</v>
      </c>
      <c r="C76" s="197">
        <v>2523.2425131926084</v>
      </c>
      <c r="D76" s="197">
        <v>10031742.10844784</v>
      </c>
      <c r="E76" s="197">
        <v>10006109</v>
      </c>
      <c r="F76" s="197">
        <v>23109.86593464744</v>
      </c>
      <c r="G76" s="232"/>
      <c r="H76" s="168">
        <v>75065.80638305709</v>
      </c>
      <c r="I76" s="168">
        <v>1848.1009430571594</v>
      </c>
      <c r="J76" s="168">
        <v>73217.70543999993</v>
      </c>
      <c r="K76" s="168">
        <v>831.3195491655262</v>
      </c>
      <c r="L76" s="168">
        <v>72386.43684973853</v>
      </c>
      <c r="M76" s="172"/>
      <c r="N76" s="173">
        <f t="shared" si="33"/>
        <v>10077379</v>
      </c>
      <c r="O76" s="173">
        <f t="shared" si="34"/>
        <v>45636.891552159934</v>
      </c>
      <c r="P76" s="173">
        <f t="shared" si="35"/>
        <v>10106807.914830897</v>
      </c>
      <c r="Q76" s="174">
        <f t="shared" si="36"/>
        <v>27481.20939089721</v>
      </c>
      <c r="R76" s="174">
        <f t="shared" si="28"/>
        <v>10006109</v>
      </c>
      <c r="S76" s="174">
        <f t="shared" si="29"/>
        <v>73217.70543999993</v>
      </c>
      <c r="T76" s="174">
        <f t="shared" si="30"/>
        <v>831.3195491655262</v>
      </c>
      <c r="U76" s="174">
        <f t="shared" si="31"/>
        <v>72386.43684973853</v>
      </c>
      <c r="V76" s="177" t="s">
        <v>220</v>
      </c>
      <c r="W76" s="178">
        <v>12.78</v>
      </c>
      <c r="X76" s="179" t="s">
        <v>4</v>
      </c>
      <c r="Y76" s="163"/>
      <c r="Z76" s="191">
        <v>13784.6</v>
      </c>
      <c r="AA76" s="191">
        <v>12154.8</v>
      </c>
      <c r="AB76" s="278"/>
      <c r="AC76" s="164">
        <v>14.6035</v>
      </c>
      <c r="AD76" s="276">
        <f t="shared" si="32"/>
        <v>16.9572</v>
      </c>
    </row>
    <row r="77" spans="2:30" ht="15">
      <c r="B77" s="198">
        <f>SUM(B65:B76)</f>
        <v>318115.2131377556</v>
      </c>
      <c r="C77" s="198">
        <f>SUM(C65:C76)</f>
        <v>18292.786862244357</v>
      </c>
      <c r="D77" s="198">
        <f>SUM(D65:D76)</f>
        <v>89096396.78686225</v>
      </c>
      <c r="E77" s="198">
        <f>SUM(E65:E76)</f>
        <v>88946105</v>
      </c>
      <c r="F77" s="198">
        <f>SUM(F65:F76)</f>
        <v>131999</v>
      </c>
      <c r="G77" s="235"/>
      <c r="H77" s="180">
        <f>SUM(H65:H76)</f>
        <v>892684.6872377035</v>
      </c>
      <c r="I77" s="180">
        <f>SUM(I65:I76)</f>
        <v>22244.957957703453</v>
      </c>
      <c r="J77" s="180">
        <f>SUM(J65:J76)</f>
        <v>870439.7292799999</v>
      </c>
      <c r="K77" s="180">
        <f>SUM(K65:K76)</f>
        <v>9326.200764561767</v>
      </c>
      <c r="L77" s="180">
        <f>SUM(L65:L76)</f>
        <v>861114.1301592737</v>
      </c>
      <c r="M77" s="181"/>
      <c r="N77" s="181">
        <f aca="true" t="shared" si="37" ref="N77:U77">SUM(N65:N76)</f>
        <v>89414512</v>
      </c>
      <c r="O77" s="181">
        <f t="shared" si="37"/>
        <v>318115.2131377556</v>
      </c>
      <c r="P77" s="181">
        <f t="shared" si="37"/>
        <v>89989081.47409995</v>
      </c>
      <c r="Q77" s="181">
        <f t="shared" si="37"/>
        <v>172536.74481994784</v>
      </c>
      <c r="R77" s="181">
        <f t="shared" si="37"/>
        <v>88946105</v>
      </c>
      <c r="S77" s="181">
        <f t="shared" si="37"/>
        <v>870439.7292799999</v>
      </c>
      <c r="T77" s="181">
        <f t="shared" si="37"/>
        <v>9326.200764561767</v>
      </c>
      <c r="U77" s="181">
        <f t="shared" si="37"/>
        <v>861114.1301592737</v>
      </c>
      <c r="V77" s="178" t="s">
        <v>158</v>
      </c>
      <c r="W77" s="220">
        <v>0.1869243665204713</v>
      </c>
      <c r="X77" s="221">
        <f>H77/8760/1000*W76/W97</f>
        <v>2.6046827175565865</v>
      </c>
      <c r="Y77" s="219" t="s">
        <v>226</v>
      </c>
      <c r="Z77" s="191">
        <f>(Z76+AA76)/2/1000</f>
        <v>12.969700000000001</v>
      </c>
      <c r="AA77" s="163"/>
      <c r="AB77" s="279"/>
      <c r="AC77" s="185">
        <f>AVERAGE(AC65:AC76)</f>
        <v>11.169466666666667</v>
      </c>
      <c r="AD77" s="277">
        <v>12.9697</v>
      </c>
    </row>
    <row r="78" spans="3:30" ht="15">
      <c r="C78" s="267" t="s">
        <v>459</v>
      </c>
      <c r="D78" s="267"/>
      <c r="E78" s="267"/>
      <c r="F78" s="267"/>
      <c r="G78" s="267"/>
      <c r="H78" s="267"/>
      <c r="I78" s="267"/>
      <c r="U78" s="178" t="s">
        <v>221</v>
      </c>
      <c r="V78" s="178" t="s">
        <v>343</v>
      </c>
      <c r="W78" s="178">
        <v>0.5</v>
      </c>
      <c r="AC78" s="42"/>
      <c r="AD78" s="276" t="s">
        <v>458</v>
      </c>
    </row>
    <row r="79" spans="21:29" ht="15">
      <c r="U79" s="178"/>
      <c r="V79" s="178"/>
      <c r="W79" s="178"/>
      <c r="AC79" s="42"/>
    </row>
    <row r="80" spans="4:29" ht="21">
      <c r="D80">
        <v>2017</v>
      </c>
      <c r="L80" s="632" t="s">
        <v>166</v>
      </c>
      <c r="M80" s="632"/>
      <c r="N80" s="632"/>
      <c r="O80" s="632"/>
      <c r="S80">
        <v>2017</v>
      </c>
      <c r="W80" s="163">
        <f>(D60+B60)/8760/1000</f>
        <v>10.799909589041095</v>
      </c>
      <c r="AC80" s="42"/>
    </row>
    <row r="81" spans="2:29" ht="14.25" customHeight="1">
      <c r="B81" s="636" t="s">
        <v>234</v>
      </c>
      <c r="C81" s="636"/>
      <c r="D81" s="636"/>
      <c r="E81" s="636"/>
      <c r="F81" s="636"/>
      <c r="G81" s="20"/>
      <c r="H81" s="76" t="s">
        <v>235</v>
      </c>
      <c r="I81" s="76"/>
      <c r="J81" s="76"/>
      <c r="K81" s="76"/>
      <c r="L81" s="76"/>
      <c r="N81" s="78" t="s">
        <v>149</v>
      </c>
      <c r="O81" s="78" t="s">
        <v>150</v>
      </c>
      <c r="P81" s="78" t="s">
        <v>143</v>
      </c>
      <c r="Q81" s="78" t="s">
        <v>151</v>
      </c>
      <c r="R81" s="78" t="s">
        <v>152</v>
      </c>
      <c r="S81" s="78" t="s">
        <v>146</v>
      </c>
      <c r="T81" s="78" t="s">
        <v>153</v>
      </c>
      <c r="U81" s="78" t="s">
        <v>147</v>
      </c>
      <c r="AC81" s="42"/>
    </row>
    <row r="82" spans="2:29" ht="45">
      <c r="B82" s="229" t="s">
        <v>265</v>
      </c>
      <c r="C82" s="229" t="s">
        <v>266</v>
      </c>
      <c r="D82" s="229" t="s">
        <v>267</v>
      </c>
      <c r="E82" s="229" t="s">
        <v>268</v>
      </c>
      <c r="F82" s="229" t="s">
        <v>269</v>
      </c>
      <c r="G82" s="229"/>
      <c r="H82" s="229" t="s">
        <v>143</v>
      </c>
      <c r="I82" s="229" t="s">
        <v>144</v>
      </c>
      <c r="J82" s="229" t="s">
        <v>146</v>
      </c>
      <c r="K82" s="229" t="s">
        <v>145</v>
      </c>
      <c r="L82" s="229" t="s">
        <v>147</v>
      </c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C82" s="42"/>
    </row>
    <row r="83" spans="2:29" ht="15">
      <c r="B83" s="230" t="s">
        <v>348</v>
      </c>
      <c r="C83" s="230" t="s">
        <v>348</v>
      </c>
      <c r="D83" s="230" t="s">
        <v>348</v>
      </c>
      <c r="E83" s="230" t="s">
        <v>348</v>
      </c>
      <c r="F83" s="230" t="s">
        <v>348</v>
      </c>
      <c r="G83" s="230"/>
      <c r="H83" s="230"/>
      <c r="I83" s="230"/>
      <c r="J83" s="230"/>
      <c r="K83" s="230"/>
      <c r="L83" s="230"/>
      <c r="M83" s="163"/>
      <c r="N83" s="163"/>
      <c r="O83" s="163"/>
      <c r="P83" s="163"/>
      <c r="Q83" s="163"/>
      <c r="R83" s="163"/>
      <c r="S83" s="163"/>
      <c r="T83" s="163"/>
      <c r="U83" s="163"/>
      <c r="V83" s="165" t="s">
        <v>345</v>
      </c>
      <c r="W83" s="166"/>
      <c r="X83" s="167"/>
      <c r="Y83" s="188" t="s">
        <v>159</v>
      </c>
      <c r="Z83" s="188" t="s">
        <v>160</v>
      </c>
      <c r="AA83" s="163" t="s">
        <v>170</v>
      </c>
      <c r="AC83" s="42"/>
    </row>
    <row r="84" spans="2:29" ht="15">
      <c r="B84" s="233">
        <v>51119.36197380893</v>
      </c>
      <c r="C84" s="233">
        <v>16650.425674192527</v>
      </c>
      <c r="D84" s="260">
        <f>11223973.943593-196</f>
        <v>11223777.943593</v>
      </c>
      <c r="E84" s="233">
        <v>11187790.613988632</v>
      </c>
      <c r="F84" s="260">
        <f>19532.9439296404-196</f>
        <v>19336.9439296404</v>
      </c>
      <c r="G84" s="232"/>
      <c r="H84" s="233">
        <v>110320.0702972311</v>
      </c>
      <c r="I84" s="233">
        <v>1540.7402972311154</v>
      </c>
      <c r="J84" s="233">
        <v>108779.32999999999</v>
      </c>
      <c r="K84" s="233">
        <v>794.5039092184038</v>
      </c>
      <c r="L84" s="233">
        <v>107984.82609078159</v>
      </c>
      <c r="M84" s="172"/>
      <c r="N84" s="173">
        <f>B84+D84</f>
        <v>11274897.305566808</v>
      </c>
      <c r="O84" s="173">
        <f>B84</f>
        <v>51119.36197380893</v>
      </c>
      <c r="P84" s="173">
        <f>D84+H84</f>
        <v>11334098.013890231</v>
      </c>
      <c r="Q84" s="174">
        <f>C84+F84+I84</f>
        <v>37528.10990106405</v>
      </c>
      <c r="R84" s="174">
        <f aca="true" t="shared" si="38" ref="R84:R95">E84</f>
        <v>11187790.613988632</v>
      </c>
      <c r="S84" s="174">
        <f aca="true" t="shared" si="39" ref="S84:U95">J84</f>
        <v>108779.32999999999</v>
      </c>
      <c r="T84" s="174">
        <f t="shared" si="39"/>
        <v>794.5039092184038</v>
      </c>
      <c r="U84" s="174">
        <f t="shared" si="39"/>
        <v>107984.82609078159</v>
      </c>
      <c r="V84" s="165">
        <v>110</v>
      </c>
      <c r="W84" s="165">
        <f>Y84+Z84</f>
        <v>379292</v>
      </c>
      <c r="X84" s="167" t="s">
        <v>5</v>
      </c>
      <c r="Y84" s="188">
        <v>379292</v>
      </c>
      <c r="Z84" s="188"/>
      <c r="AA84" s="163"/>
      <c r="AC84" s="164">
        <v>19.55857</v>
      </c>
    </row>
    <row r="85" spans="2:29" ht="15">
      <c r="B85" s="233">
        <v>47841.665750196866</v>
      </c>
      <c r="C85" s="233">
        <v>16542.65430608369</v>
      </c>
      <c r="D85" s="233">
        <v>9300554.028404204</v>
      </c>
      <c r="E85" s="233">
        <v>9271211.107355608</v>
      </c>
      <c r="F85" s="233">
        <v>12800.26674263996</v>
      </c>
      <c r="G85" s="232"/>
      <c r="H85" s="233">
        <v>106580.10972245887</v>
      </c>
      <c r="I85" s="233">
        <v>1398.5697224588616</v>
      </c>
      <c r="J85" s="233">
        <v>105181.54000000001</v>
      </c>
      <c r="K85" s="233">
        <v>849.6085669355107</v>
      </c>
      <c r="L85" s="233">
        <v>104331.9314330645</v>
      </c>
      <c r="M85" s="172"/>
      <c r="N85" s="173">
        <f aca="true" t="shared" si="40" ref="N85:N95">B85+D85</f>
        <v>9348395.6941544</v>
      </c>
      <c r="O85" s="173">
        <f aca="true" t="shared" si="41" ref="O85:O95">B85</f>
        <v>47841.665750196866</v>
      </c>
      <c r="P85" s="173">
        <f aca="true" t="shared" si="42" ref="P85:P95">D85+H85</f>
        <v>9407134.138126664</v>
      </c>
      <c r="Q85" s="174">
        <f aca="true" t="shared" si="43" ref="Q85:Q95">C85+F85+I85</f>
        <v>30741.49077118251</v>
      </c>
      <c r="R85" s="174">
        <f t="shared" si="38"/>
        <v>9271211.107355608</v>
      </c>
      <c r="S85" s="174">
        <f t="shared" si="39"/>
        <v>105181.54000000001</v>
      </c>
      <c r="T85" s="174">
        <f t="shared" si="39"/>
        <v>849.6085669355107</v>
      </c>
      <c r="U85" s="174">
        <f t="shared" si="39"/>
        <v>104331.9314330645</v>
      </c>
      <c r="V85" s="165">
        <v>10</v>
      </c>
      <c r="W85" s="165">
        <f aca="true" t="shared" si="44" ref="W85:W94">Y85+Z85</f>
        <v>141150.3</v>
      </c>
      <c r="X85" s="167" t="s">
        <v>5</v>
      </c>
      <c r="Y85" s="188">
        <v>127417.3</v>
      </c>
      <c r="Z85" s="188">
        <v>13733</v>
      </c>
      <c r="AA85" s="163"/>
      <c r="AC85" s="164">
        <v>17.1696</v>
      </c>
    </row>
    <row r="86" spans="2:29" ht="15">
      <c r="B86" s="233">
        <v>54663.69552203987</v>
      </c>
      <c r="C86" s="233">
        <v>20574.982115459974</v>
      </c>
      <c r="D86" s="233">
        <v>9904435.386324588</v>
      </c>
      <c r="E86" s="233">
        <v>9872115.848732464</v>
      </c>
      <c r="F86" s="233">
        <v>11744.555478501956</v>
      </c>
      <c r="G86" s="232"/>
      <c r="H86" s="233">
        <v>13365.907963362975</v>
      </c>
      <c r="I86" s="233">
        <v>1376.7079633629742</v>
      </c>
      <c r="J86" s="233">
        <v>11989.2</v>
      </c>
      <c r="K86" s="233">
        <v>67.90837244479519</v>
      </c>
      <c r="L86" s="233">
        <v>11921.291627555205</v>
      </c>
      <c r="M86" s="172"/>
      <c r="N86" s="173">
        <f t="shared" si="40"/>
        <v>9959099.081846628</v>
      </c>
      <c r="O86" s="173">
        <f t="shared" si="41"/>
        <v>54663.69552203987</v>
      </c>
      <c r="P86" s="173">
        <f t="shared" si="42"/>
        <v>9917801.294287952</v>
      </c>
      <c r="Q86" s="174">
        <f t="shared" si="43"/>
        <v>33696.2455573249</v>
      </c>
      <c r="R86" s="174">
        <f t="shared" si="38"/>
        <v>9872115.848732464</v>
      </c>
      <c r="S86" s="174">
        <f t="shared" si="39"/>
        <v>11989.2</v>
      </c>
      <c r="T86" s="174">
        <f t="shared" si="39"/>
        <v>67.90837244479519</v>
      </c>
      <c r="U86" s="174">
        <f t="shared" si="39"/>
        <v>11921.291627555205</v>
      </c>
      <c r="V86" s="176">
        <v>0.4</v>
      </c>
      <c r="W86" s="165">
        <f t="shared" si="44"/>
        <v>0.6</v>
      </c>
      <c r="X86" s="167" t="s">
        <v>5</v>
      </c>
      <c r="Y86" s="188"/>
      <c r="Z86" s="188">
        <v>0.6</v>
      </c>
      <c r="AA86" s="163"/>
      <c r="AC86" s="164">
        <v>16.19766</v>
      </c>
    </row>
    <row r="87" spans="2:29" ht="15">
      <c r="B87" s="233">
        <v>52560.62006613304</v>
      </c>
      <c r="C87" s="233">
        <v>20710.986109612593</v>
      </c>
      <c r="D87" s="233">
        <v>8432030.986260992</v>
      </c>
      <c r="E87" s="233">
        <v>8405347.481508706</v>
      </c>
      <c r="F87" s="233">
        <v>5972.5186783708095</v>
      </c>
      <c r="G87" s="232"/>
      <c r="H87" s="233">
        <v>26595.79926019159</v>
      </c>
      <c r="I87" s="233">
        <v>1627.6663842348253</v>
      </c>
      <c r="J87" s="233">
        <v>24968.132875956766</v>
      </c>
      <c r="K87" s="233">
        <v>2634.878460958702</v>
      </c>
      <c r="L87" s="233">
        <v>22333.254414998064</v>
      </c>
      <c r="M87" s="172"/>
      <c r="N87" s="173">
        <f t="shared" si="40"/>
        <v>8484591.606327124</v>
      </c>
      <c r="O87" s="173">
        <f t="shared" si="41"/>
        <v>52560.62006613304</v>
      </c>
      <c r="P87" s="173">
        <f t="shared" si="42"/>
        <v>8458626.785521183</v>
      </c>
      <c r="Q87" s="174">
        <f t="shared" si="43"/>
        <v>28311.171172218226</v>
      </c>
      <c r="R87" s="174">
        <f t="shared" si="38"/>
        <v>8405347.481508706</v>
      </c>
      <c r="S87" s="174">
        <f t="shared" si="39"/>
        <v>24968.132875956766</v>
      </c>
      <c r="T87" s="174">
        <f t="shared" si="39"/>
        <v>2634.878460958702</v>
      </c>
      <c r="U87" s="174">
        <f t="shared" si="39"/>
        <v>22333.254414998064</v>
      </c>
      <c r="V87" s="165" t="s">
        <v>346</v>
      </c>
      <c r="W87" s="165"/>
      <c r="X87" s="167"/>
      <c r="Y87" s="188"/>
      <c r="Z87" s="188"/>
      <c r="AA87" s="163"/>
      <c r="AC87" s="164">
        <v>13.133499</v>
      </c>
    </row>
    <row r="88" spans="2:29" ht="15">
      <c r="B88" s="233">
        <v>48424.35085342929</v>
      </c>
      <c r="C88" s="233">
        <v>17041.909882013693</v>
      </c>
      <c r="D88" s="233">
        <v>6862846.141640737</v>
      </c>
      <c r="E88" s="233">
        <v>6845804.232242234</v>
      </c>
      <c r="F88" s="233">
        <v>0</v>
      </c>
      <c r="G88" s="232"/>
      <c r="H88" s="233">
        <v>92949.4190304931</v>
      </c>
      <c r="I88" s="233">
        <v>1493.6590304931033</v>
      </c>
      <c r="J88" s="233">
        <v>91455.76</v>
      </c>
      <c r="K88" s="233">
        <v>1145.0159004421662</v>
      </c>
      <c r="L88" s="233">
        <v>90310.74409955784</v>
      </c>
      <c r="M88" s="172"/>
      <c r="N88" s="173">
        <f t="shared" si="40"/>
        <v>6911270.492494166</v>
      </c>
      <c r="O88" s="173">
        <f t="shared" si="41"/>
        <v>48424.35085342929</v>
      </c>
      <c r="P88" s="173">
        <f t="shared" si="42"/>
        <v>6955795.56067123</v>
      </c>
      <c r="Q88" s="174">
        <f t="shared" si="43"/>
        <v>18535.568912506795</v>
      </c>
      <c r="R88" s="174">
        <f t="shared" si="38"/>
        <v>6845804.232242234</v>
      </c>
      <c r="S88" s="174">
        <f t="shared" si="39"/>
        <v>91455.76</v>
      </c>
      <c r="T88" s="174">
        <f t="shared" si="39"/>
        <v>1145.0159004421662</v>
      </c>
      <c r="U88" s="174">
        <f t="shared" si="39"/>
        <v>90310.74409955784</v>
      </c>
      <c r="V88" s="165">
        <v>110</v>
      </c>
      <c r="W88" s="165">
        <f t="shared" si="44"/>
        <v>75912.4</v>
      </c>
      <c r="X88" s="167" t="s">
        <v>5</v>
      </c>
      <c r="Y88" s="188">
        <v>75912.4</v>
      </c>
      <c r="Z88" s="188"/>
      <c r="AA88" s="163">
        <f>W88/N96*100</f>
        <v>0.07938503232267542</v>
      </c>
      <c r="AC88" s="164">
        <v>8.66131</v>
      </c>
    </row>
    <row r="89" spans="2:29" ht="15">
      <c r="B89" s="233">
        <v>41209.2525320005</v>
      </c>
      <c r="C89" s="233">
        <v>11377.06513479021</v>
      </c>
      <c r="D89" s="233">
        <v>5463269.466364609</v>
      </c>
      <c r="E89" s="233">
        <v>5451892.401343233</v>
      </c>
      <c r="F89" s="233">
        <v>0</v>
      </c>
      <c r="G89" s="232"/>
      <c r="H89" s="233">
        <v>120248.57598774103</v>
      </c>
      <c r="I89" s="233">
        <v>1500.9059877410175</v>
      </c>
      <c r="J89" s="233">
        <v>118747.67000000001</v>
      </c>
      <c r="K89" s="233">
        <v>1298.597023972282</v>
      </c>
      <c r="L89" s="233">
        <v>117449.07297602772</v>
      </c>
      <c r="M89" s="172"/>
      <c r="N89" s="173">
        <f t="shared" si="40"/>
        <v>5504478.71889661</v>
      </c>
      <c r="O89" s="173">
        <f t="shared" si="41"/>
        <v>41209.2525320005</v>
      </c>
      <c r="P89" s="173">
        <f t="shared" si="42"/>
        <v>5583518.04235235</v>
      </c>
      <c r="Q89" s="174">
        <f t="shared" si="43"/>
        <v>12877.971122531228</v>
      </c>
      <c r="R89" s="174">
        <f t="shared" si="38"/>
        <v>5451892.401343233</v>
      </c>
      <c r="S89" s="174">
        <f t="shared" si="39"/>
        <v>118747.67000000001</v>
      </c>
      <c r="T89" s="174">
        <f t="shared" si="39"/>
        <v>1298.597023972282</v>
      </c>
      <c r="U89" s="174">
        <f t="shared" si="39"/>
        <v>117449.07297602772</v>
      </c>
      <c r="V89" s="165">
        <v>10</v>
      </c>
      <c r="W89" s="165">
        <f t="shared" si="44"/>
        <v>5197.2</v>
      </c>
      <c r="X89" s="167" t="s">
        <v>5</v>
      </c>
      <c r="Y89" s="188">
        <v>116.2</v>
      </c>
      <c r="Z89" s="188">
        <v>5081</v>
      </c>
      <c r="AA89" s="163">
        <f>W89/P96*100</f>
        <v>0.005396947109620066</v>
      </c>
      <c r="AC89" s="164">
        <v>8.5451</v>
      </c>
    </row>
    <row r="90" spans="2:30" ht="15">
      <c r="B90" s="233">
        <v>40030.79607518513</v>
      </c>
      <c r="C90" s="233">
        <v>9458.99673030864</v>
      </c>
      <c r="D90" s="233">
        <v>4659739.635572441</v>
      </c>
      <c r="E90" s="233">
        <v>4650280.638920039</v>
      </c>
      <c r="F90" s="233">
        <v>0</v>
      </c>
      <c r="G90" s="232"/>
      <c r="H90" s="233">
        <v>88662.69049047928</v>
      </c>
      <c r="I90" s="233">
        <v>1529.8404904792853</v>
      </c>
      <c r="J90" s="233">
        <v>87132.84999999999</v>
      </c>
      <c r="K90" s="233">
        <v>709.3064009079042</v>
      </c>
      <c r="L90" s="233">
        <v>86423.54359909208</v>
      </c>
      <c r="M90" s="172"/>
      <c r="N90" s="173">
        <f t="shared" si="40"/>
        <v>4699770.431647626</v>
      </c>
      <c r="O90" s="173">
        <f t="shared" si="41"/>
        <v>40030.79607518513</v>
      </c>
      <c r="P90" s="173">
        <f t="shared" si="42"/>
        <v>4748402.3260629205</v>
      </c>
      <c r="Q90" s="174">
        <f t="shared" si="43"/>
        <v>10988.837220787926</v>
      </c>
      <c r="R90" s="174">
        <f t="shared" si="38"/>
        <v>4650280.638920039</v>
      </c>
      <c r="S90" s="174">
        <f t="shared" si="39"/>
        <v>87132.84999999999</v>
      </c>
      <c r="T90" s="174">
        <f t="shared" si="39"/>
        <v>709.3064009079042</v>
      </c>
      <c r="U90" s="174">
        <f t="shared" si="39"/>
        <v>86423.54359909208</v>
      </c>
      <c r="V90" s="176">
        <v>0.4</v>
      </c>
      <c r="W90" s="165">
        <f t="shared" si="44"/>
        <v>14413.3</v>
      </c>
      <c r="X90" s="167" t="s">
        <v>5</v>
      </c>
      <c r="Y90" s="188"/>
      <c r="Z90" s="189">
        <v>14413.3</v>
      </c>
      <c r="AA90" s="163">
        <f>W90/AA93/1000</f>
        <v>7.100147783251232</v>
      </c>
      <c r="AC90" s="164">
        <v>9.76674</v>
      </c>
      <c r="AD90">
        <f>ROUND(AVERAGE(AC84:AC89),4)</f>
        <v>13.8776</v>
      </c>
    </row>
    <row r="91" spans="2:29" ht="15">
      <c r="B91" s="233">
        <v>40897.666311296154</v>
      </c>
      <c r="C91" s="233">
        <v>10191.460239597269</v>
      </c>
      <c r="D91" s="233">
        <v>4974747.089265627</v>
      </c>
      <c r="E91" s="233">
        <v>4964555.629025693</v>
      </c>
      <c r="F91" s="233">
        <v>0</v>
      </c>
      <c r="G91" s="232"/>
      <c r="H91" s="233">
        <v>95140.21962122478</v>
      </c>
      <c r="I91" s="233">
        <v>1527.6396212247764</v>
      </c>
      <c r="J91" s="233">
        <v>93612.58</v>
      </c>
      <c r="K91" s="233">
        <v>731.8832828819438</v>
      </c>
      <c r="L91" s="233">
        <v>92880.69671711806</v>
      </c>
      <c r="M91" s="172"/>
      <c r="N91" s="173">
        <f t="shared" si="40"/>
        <v>5015644.755576923</v>
      </c>
      <c r="O91" s="173">
        <f t="shared" si="41"/>
        <v>40897.666311296154</v>
      </c>
      <c r="P91" s="173">
        <f t="shared" si="42"/>
        <v>5069887.308886851</v>
      </c>
      <c r="Q91" s="174">
        <f t="shared" si="43"/>
        <v>11719.099860822045</v>
      </c>
      <c r="R91" s="174">
        <f t="shared" si="38"/>
        <v>4964555.629025693</v>
      </c>
      <c r="S91" s="174">
        <f t="shared" si="39"/>
        <v>93612.58</v>
      </c>
      <c r="T91" s="174">
        <f t="shared" si="39"/>
        <v>731.8832828819438</v>
      </c>
      <c r="U91" s="174">
        <f t="shared" si="39"/>
        <v>92880.69671711806</v>
      </c>
      <c r="V91" s="165" t="s">
        <v>344</v>
      </c>
      <c r="W91" s="165"/>
      <c r="X91" s="167"/>
      <c r="Y91" s="188"/>
      <c r="Z91" s="188"/>
      <c r="AA91" s="163"/>
      <c r="AC91" s="164">
        <v>10.2553</v>
      </c>
    </row>
    <row r="92" spans="2:29" ht="15">
      <c r="B92" s="233">
        <v>42326.15594022343</v>
      </c>
      <c r="C92" s="233">
        <v>12088.602949446316</v>
      </c>
      <c r="D92" s="260">
        <f>5788091.21374825+196</f>
        <v>5788287.21374825</v>
      </c>
      <c r="E92" s="233">
        <v>5776002.610798571</v>
      </c>
      <c r="F92" s="260">
        <v>196</v>
      </c>
      <c r="G92" s="232"/>
      <c r="H92" s="233">
        <v>113004.26467624179</v>
      </c>
      <c r="I92" s="233">
        <v>1565.4746762417828</v>
      </c>
      <c r="J92" s="233">
        <v>111438.79000000001</v>
      </c>
      <c r="K92" s="233">
        <v>1098.3347150818072</v>
      </c>
      <c r="L92" s="233">
        <v>110340.4552849182</v>
      </c>
      <c r="M92" s="172"/>
      <c r="N92" s="173">
        <f t="shared" si="40"/>
        <v>5830613.369688474</v>
      </c>
      <c r="O92" s="173">
        <f t="shared" si="41"/>
        <v>42326.15594022343</v>
      </c>
      <c r="P92" s="173">
        <f t="shared" si="42"/>
        <v>5901291.478424492</v>
      </c>
      <c r="Q92" s="174">
        <f t="shared" si="43"/>
        <v>13850.0776256881</v>
      </c>
      <c r="R92" s="174">
        <f t="shared" si="38"/>
        <v>5776002.610798571</v>
      </c>
      <c r="S92" s="174">
        <f t="shared" si="39"/>
        <v>111438.79000000001</v>
      </c>
      <c r="T92" s="174">
        <f t="shared" si="39"/>
        <v>1098.3347150818072</v>
      </c>
      <c r="U92" s="174">
        <f t="shared" si="39"/>
        <v>110340.4552849182</v>
      </c>
      <c r="V92" s="165">
        <v>110</v>
      </c>
      <c r="W92" s="165">
        <f t="shared" si="44"/>
        <v>109908.6</v>
      </c>
      <c r="X92" s="167" t="s">
        <v>5</v>
      </c>
      <c r="Y92" s="189">
        <v>109908.6</v>
      </c>
      <c r="Z92" s="188"/>
      <c r="AA92" s="163" t="s">
        <v>171</v>
      </c>
      <c r="AC92" s="164">
        <v>11.17073</v>
      </c>
    </row>
    <row r="93" spans="2:29" ht="15">
      <c r="B93" s="233">
        <v>46685.593969172376</v>
      </c>
      <c r="C93" s="233">
        <v>14017.888170476283</v>
      </c>
      <c r="D93" s="233">
        <v>8230297.473105944</v>
      </c>
      <c r="E93" s="233">
        <v>8205353.535466779</v>
      </c>
      <c r="F93" s="233">
        <v>10926.049372169122</v>
      </c>
      <c r="G93" s="232"/>
      <c r="H93" s="233">
        <v>224338.41233287533</v>
      </c>
      <c r="I93" s="233">
        <v>1952.1423328752876</v>
      </c>
      <c r="J93" s="233">
        <v>222386.27000000002</v>
      </c>
      <c r="K93" s="233">
        <v>3189.790498128433</v>
      </c>
      <c r="L93" s="233">
        <v>219196.4795018716</v>
      </c>
      <c r="M93" s="172"/>
      <c r="N93" s="173">
        <f t="shared" si="40"/>
        <v>8276983.067075117</v>
      </c>
      <c r="O93" s="173">
        <f t="shared" si="41"/>
        <v>46685.593969172376</v>
      </c>
      <c r="P93" s="173">
        <f t="shared" si="42"/>
        <v>8454635.885438818</v>
      </c>
      <c r="Q93" s="174">
        <f t="shared" si="43"/>
        <v>26896.079875520692</v>
      </c>
      <c r="R93" s="174">
        <f t="shared" si="38"/>
        <v>8205353.535466779</v>
      </c>
      <c r="S93" s="174">
        <f t="shared" si="39"/>
        <v>222386.27000000002</v>
      </c>
      <c r="T93" s="174">
        <f t="shared" si="39"/>
        <v>3189.790498128433</v>
      </c>
      <c r="U93" s="174">
        <f t="shared" si="39"/>
        <v>219196.4795018716</v>
      </c>
      <c r="V93" s="165">
        <v>10</v>
      </c>
      <c r="W93" s="165">
        <f t="shared" si="44"/>
        <v>147344</v>
      </c>
      <c r="X93" s="167" t="s">
        <v>5</v>
      </c>
      <c r="Y93" s="189">
        <v>147344</v>
      </c>
      <c r="Z93" s="189">
        <v>0</v>
      </c>
      <c r="AA93" s="163">
        <v>2.03</v>
      </c>
      <c r="AC93" s="164">
        <v>14.72652</v>
      </c>
    </row>
    <row r="94" spans="2:29" ht="15">
      <c r="B94" s="233">
        <v>47811.59277493994</v>
      </c>
      <c r="C94" s="233">
        <v>15533.284967638265</v>
      </c>
      <c r="D94" s="233">
        <v>9550935.546916164</v>
      </c>
      <c r="E94" s="233">
        <v>9519832.699550144</v>
      </c>
      <c r="F94" s="233">
        <v>15569.562398363638</v>
      </c>
      <c r="G94" s="232"/>
      <c r="H94" s="233">
        <v>154407.77450200327</v>
      </c>
      <c r="I94" s="233">
        <v>1796.7945020032823</v>
      </c>
      <c r="J94" s="233">
        <v>152610.98</v>
      </c>
      <c r="K94" s="233">
        <v>2033.1600829315455</v>
      </c>
      <c r="L94" s="233">
        <v>150577.81991706847</v>
      </c>
      <c r="M94" s="172"/>
      <c r="N94" s="173">
        <f t="shared" si="40"/>
        <v>9598747.139691105</v>
      </c>
      <c r="O94" s="173">
        <f t="shared" si="41"/>
        <v>47811.59277493994</v>
      </c>
      <c r="P94" s="173">
        <f t="shared" si="42"/>
        <v>9705343.321418168</v>
      </c>
      <c r="Q94" s="174">
        <f t="shared" si="43"/>
        <v>32899.64186800519</v>
      </c>
      <c r="R94" s="174">
        <f t="shared" si="38"/>
        <v>9519832.699550144</v>
      </c>
      <c r="S94" s="174">
        <f t="shared" si="39"/>
        <v>152610.98</v>
      </c>
      <c r="T94" s="174">
        <f t="shared" si="39"/>
        <v>2033.1600829315455</v>
      </c>
      <c r="U94" s="174">
        <f t="shared" si="39"/>
        <v>150577.81991706847</v>
      </c>
      <c r="V94" s="176">
        <v>0.4</v>
      </c>
      <c r="W94" s="165">
        <f t="shared" si="44"/>
        <v>782.1</v>
      </c>
      <c r="X94" s="167" t="s">
        <v>5</v>
      </c>
      <c r="Y94" s="188"/>
      <c r="Z94" s="189">
        <v>782.1</v>
      </c>
      <c r="AA94" s="163"/>
      <c r="AC94" s="164">
        <v>17.58588</v>
      </c>
    </row>
    <row r="95" spans="2:29" ht="15">
      <c r="B95" s="233">
        <v>51542.22123101053</v>
      </c>
      <c r="C95" s="233">
        <v>17298.736861053123</v>
      </c>
      <c r="D95" s="233">
        <v>10669549.149441572</v>
      </c>
      <c r="E95" s="233">
        <v>10635405.79668499</v>
      </c>
      <c r="F95" s="233">
        <v>16844.615900314202</v>
      </c>
      <c r="G95" s="232"/>
      <c r="H95" s="233">
        <v>92803.72247815951</v>
      </c>
      <c r="I95" s="233">
        <v>1503.4924781595146</v>
      </c>
      <c r="J95" s="233">
        <v>91300.23000000001</v>
      </c>
      <c r="K95" s="233">
        <v>642.9412791700006</v>
      </c>
      <c r="L95" s="233">
        <v>90657.28872083001</v>
      </c>
      <c r="M95" s="172"/>
      <c r="N95" s="173">
        <f t="shared" si="40"/>
        <v>10721091.370672582</v>
      </c>
      <c r="O95" s="173">
        <f t="shared" si="41"/>
        <v>51542.22123101053</v>
      </c>
      <c r="P95" s="173">
        <f t="shared" si="42"/>
        <v>10762352.87191973</v>
      </c>
      <c r="Q95" s="174">
        <f t="shared" si="43"/>
        <v>35646.84523952684</v>
      </c>
      <c r="R95" s="174">
        <f t="shared" si="38"/>
        <v>10635405.79668499</v>
      </c>
      <c r="S95" s="174">
        <f t="shared" si="39"/>
        <v>91300.23000000001</v>
      </c>
      <c r="T95" s="174">
        <f t="shared" si="39"/>
        <v>642.9412791700006</v>
      </c>
      <c r="U95" s="174">
        <f t="shared" si="39"/>
        <v>90657.28872083001</v>
      </c>
      <c r="V95" s="178" t="s">
        <v>225</v>
      </c>
      <c r="W95" s="178">
        <f>AC97-W96</f>
        <v>13.697917416666668</v>
      </c>
      <c r="X95" s="203" t="s">
        <v>4</v>
      </c>
      <c r="Y95" s="204"/>
      <c r="Z95" s="204"/>
      <c r="AA95" s="163"/>
      <c r="AC95" s="164">
        <v>19.7605</v>
      </c>
    </row>
    <row r="96" spans="2:30" ht="15">
      <c r="B96" s="235">
        <f>SUM(B84:B95)</f>
        <v>565112.9729994361</v>
      </c>
      <c r="C96" s="235">
        <f>SUM(C84:C95)</f>
        <v>181486.9931406726</v>
      </c>
      <c r="D96" s="235">
        <f>SUM(D84:D95)</f>
        <v>95060470.06063813</v>
      </c>
      <c r="E96" s="235">
        <f>SUM(E84:E95)</f>
        <v>94785592.5956171</v>
      </c>
      <c r="F96" s="235">
        <f>SUM(F84:F95)</f>
        <v>93390.5125000001</v>
      </c>
      <c r="G96" s="235"/>
      <c r="H96" s="235">
        <f>SUM(H84:H95)</f>
        <v>1238416.9663624626</v>
      </c>
      <c r="I96" s="235">
        <f>SUM(I84:I95)</f>
        <v>18813.633486505827</v>
      </c>
      <c r="J96" s="235">
        <f>SUM(J84:J95)</f>
        <v>1219603.3328759568</v>
      </c>
      <c r="K96" s="235">
        <f>SUM(K84:K95)</f>
        <v>15195.928493073494</v>
      </c>
      <c r="L96" s="235">
        <f>SUM(L84:L95)</f>
        <v>1204407.4043828833</v>
      </c>
      <c r="M96" s="181"/>
      <c r="N96" s="181">
        <f aca="true" t="shared" si="45" ref="N96:U96">SUM(N84:N95)</f>
        <v>95625583.03363755</v>
      </c>
      <c r="O96" s="181">
        <f t="shared" si="45"/>
        <v>565112.9729994361</v>
      </c>
      <c r="P96" s="181">
        <f t="shared" si="45"/>
        <v>96298887.02700058</v>
      </c>
      <c r="Q96" s="181">
        <f t="shared" si="45"/>
        <v>293691.13912717847</v>
      </c>
      <c r="R96" s="181">
        <f t="shared" si="45"/>
        <v>94785592.5956171</v>
      </c>
      <c r="S96" s="181">
        <f t="shared" si="45"/>
        <v>1219603.3328759568</v>
      </c>
      <c r="T96" s="181">
        <f t="shared" si="45"/>
        <v>15195.928493073494</v>
      </c>
      <c r="U96" s="181">
        <f t="shared" si="45"/>
        <v>1204407.4043828833</v>
      </c>
      <c r="V96" s="178" t="s">
        <v>158</v>
      </c>
      <c r="W96" s="178">
        <v>0.1797</v>
      </c>
      <c r="X96" s="322">
        <f>H96/8760/1000*W95/W98</f>
        <v>0.1773974369041458</v>
      </c>
      <c r="Y96" s="322" t="s">
        <v>226</v>
      </c>
      <c r="Z96" s="204"/>
      <c r="AA96" s="163"/>
      <c r="AC96" s="164"/>
      <c r="AD96">
        <f>ROUND(AVERAGE(AC90:AC96),4)</f>
        <v>13.8776</v>
      </c>
    </row>
    <row r="97" spans="3:29" ht="15">
      <c r="C97" s="258"/>
      <c r="D97" s="259" t="s">
        <v>110</v>
      </c>
      <c r="E97" s="259" t="s">
        <v>111</v>
      </c>
      <c r="F97" s="28"/>
      <c r="U97" s="178" t="s">
        <v>221</v>
      </c>
      <c r="V97" s="178" t="s">
        <v>343</v>
      </c>
      <c r="W97" s="178">
        <v>0.5</v>
      </c>
      <c r="X97" s="178" t="s">
        <v>222</v>
      </c>
      <c r="Y97" s="178"/>
      <c r="Z97" s="178"/>
      <c r="AC97" s="185">
        <f>AVERAGE(AC84:AC95)</f>
        <v>13.877617416666668</v>
      </c>
    </row>
    <row r="98" spans="2:29" ht="21">
      <c r="B98" s="259" t="s">
        <v>462</v>
      </c>
      <c r="C98" s="259"/>
      <c r="D98" s="259">
        <v>464300</v>
      </c>
      <c r="E98" s="259">
        <v>409700</v>
      </c>
      <c r="F98" s="28"/>
      <c r="L98" s="632" t="s">
        <v>167</v>
      </c>
      <c r="M98" s="632"/>
      <c r="N98" s="632"/>
      <c r="O98" s="632"/>
      <c r="S98">
        <v>2018</v>
      </c>
      <c r="W98" s="323">
        <f>(D96+B96)/8760/1000</f>
        <v>10.916162446762279</v>
      </c>
      <c r="AC98" s="42"/>
    </row>
    <row r="99" spans="2:29" ht="14.25" customHeight="1">
      <c r="B99" s="636" t="s">
        <v>161</v>
      </c>
      <c r="C99" s="636"/>
      <c r="D99" s="636"/>
      <c r="E99" s="636"/>
      <c r="F99" s="636"/>
      <c r="G99" s="20"/>
      <c r="H99" s="76" t="s">
        <v>162</v>
      </c>
      <c r="I99" s="76"/>
      <c r="J99" s="76"/>
      <c r="K99" s="76"/>
      <c r="L99" s="76"/>
      <c r="N99" s="78" t="s">
        <v>149</v>
      </c>
      <c r="O99" s="78" t="s">
        <v>150</v>
      </c>
      <c r="P99" s="78" t="s">
        <v>143</v>
      </c>
      <c r="Q99" s="78" t="s">
        <v>151</v>
      </c>
      <c r="R99" s="78" t="s">
        <v>152</v>
      </c>
      <c r="S99" s="78" t="s">
        <v>146</v>
      </c>
      <c r="T99" s="78" t="s">
        <v>153</v>
      </c>
      <c r="U99" s="78" t="s">
        <v>147</v>
      </c>
      <c r="W99" s="321"/>
      <c r="AC99" s="42"/>
    </row>
    <row r="100" spans="2:29" ht="45">
      <c r="B100" s="162" t="s">
        <v>265</v>
      </c>
      <c r="C100" s="162" t="s">
        <v>266</v>
      </c>
      <c r="D100" s="162" t="s">
        <v>267</v>
      </c>
      <c r="E100" s="162" t="s">
        <v>268</v>
      </c>
      <c r="F100" s="162" t="s">
        <v>269</v>
      </c>
      <c r="G100" s="162"/>
      <c r="H100" s="162" t="s">
        <v>143</v>
      </c>
      <c r="I100" s="162" t="s">
        <v>144</v>
      </c>
      <c r="J100" s="162" t="s">
        <v>146</v>
      </c>
      <c r="K100" s="162" t="s">
        <v>145</v>
      </c>
      <c r="L100" s="162" t="s">
        <v>147</v>
      </c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C100" s="42"/>
    </row>
    <row r="101" spans="2:29" ht="15">
      <c r="B101" s="163" t="s">
        <v>348</v>
      </c>
      <c r="C101" s="163" t="s">
        <v>348</v>
      </c>
      <c r="D101" s="163" t="s">
        <v>348</v>
      </c>
      <c r="E101" s="163" t="s">
        <v>348</v>
      </c>
      <c r="F101" s="163" t="s">
        <v>348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5" t="s">
        <v>345</v>
      </c>
      <c r="W101" s="166"/>
      <c r="X101" s="167"/>
      <c r="Y101" s="309" t="s">
        <v>159</v>
      </c>
      <c r="Z101" s="309" t="s">
        <v>160</v>
      </c>
      <c r="AA101" s="163" t="s">
        <v>170</v>
      </c>
      <c r="AC101" s="308">
        <f aca="true" t="shared" si="46" ref="AC101:AC112">AC84*1.07</f>
        <v>20.9276699</v>
      </c>
    </row>
    <row r="102" spans="1:29" ht="15">
      <c r="A102">
        <v>31</v>
      </c>
      <c r="B102" s="280">
        <v>59699</v>
      </c>
      <c r="C102" s="280">
        <v>16997</v>
      </c>
      <c r="D102" s="280">
        <v>12838220</v>
      </c>
      <c r="E102" s="280">
        <v>12797386</v>
      </c>
      <c r="F102" s="280">
        <v>23837</v>
      </c>
      <c r="G102" s="340">
        <f>D102+B102+H102+H102</f>
        <v>13134489</v>
      </c>
      <c r="H102" s="280">
        <v>118285</v>
      </c>
      <c r="I102" s="280">
        <v>3230</v>
      </c>
      <c r="J102" s="280">
        <v>115055</v>
      </c>
      <c r="K102" s="280">
        <v>763</v>
      </c>
      <c r="L102" s="280">
        <v>114292</v>
      </c>
      <c r="M102" s="307"/>
      <c r="N102" s="173">
        <f>B102+D102</f>
        <v>12897919</v>
      </c>
      <c r="O102" s="173">
        <f>B102</f>
        <v>59699</v>
      </c>
      <c r="P102" s="173">
        <f>D102+H102</f>
        <v>12956505</v>
      </c>
      <c r="Q102" s="174">
        <f>C102+F102+I102</f>
        <v>44064</v>
      </c>
      <c r="R102" s="174">
        <f aca="true" t="shared" si="47" ref="R102:R113">E102</f>
        <v>12797386</v>
      </c>
      <c r="S102" s="174">
        <f aca="true" t="shared" si="48" ref="S102:S113">J102</f>
        <v>115055</v>
      </c>
      <c r="T102" s="174">
        <f aca="true" t="shared" si="49" ref="T102:T113">K102</f>
        <v>763</v>
      </c>
      <c r="U102" s="174">
        <f aca="true" t="shared" si="50" ref="U102:U113">L102</f>
        <v>114292</v>
      </c>
      <c r="V102" s="165">
        <v>110</v>
      </c>
      <c r="W102" s="165">
        <f>Y102+Z102</f>
        <v>379292</v>
      </c>
      <c r="X102" s="167" t="s">
        <v>5</v>
      </c>
      <c r="Y102" s="311">
        <v>379292</v>
      </c>
      <c r="Z102" s="310"/>
      <c r="AA102" s="163"/>
      <c r="AC102" s="308">
        <f t="shared" si="46"/>
        <v>18.371472</v>
      </c>
    </row>
    <row r="103" spans="1:29" ht="15">
      <c r="A103">
        <v>28</v>
      </c>
      <c r="B103" s="280">
        <v>51878</v>
      </c>
      <c r="C103" s="280">
        <v>14426</v>
      </c>
      <c r="D103" s="280">
        <v>10630720</v>
      </c>
      <c r="E103" s="280">
        <v>10593817</v>
      </c>
      <c r="F103" s="280">
        <v>22477</v>
      </c>
      <c r="G103" s="340">
        <f aca="true" t="shared" si="51" ref="G103:G113">D103+B103+H103+H103</f>
        <v>10910962</v>
      </c>
      <c r="H103" s="280">
        <v>114182</v>
      </c>
      <c r="I103" s="280">
        <v>2909</v>
      </c>
      <c r="J103" s="280">
        <v>111273</v>
      </c>
      <c r="K103" s="280">
        <v>799</v>
      </c>
      <c r="L103" s="280">
        <v>110474</v>
      </c>
      <c r="M103" s="307"/>
      <c r="N103" s="173">
        <f aca="true" t="shared" si="52" ref="N103:N113">B103+D103</f>
        <v>10682598</v>
      </c>
      <c r="O103" s="173">
        <f aca="true" t="shared" si="53" ref="O103:O113">B103</f>
        <v>51878</v>
      </c>
      <c r="P103" s="173">
        <f aca="true" t="shared" si="54" ref="P103:P113">D103+H103</f>
        <v>10744902</v>
      </c>
      <c r="Q103" s="174">
        <f aca="true" t="shared" si="55" ref="Q103:Q113">C103+F103+I103</f>
        <v>39812</v>
      </c>
      <c r="R103" s="174">
        <f t="shared" si="47"/>
        <v>10593817</v>
      </c>
      <c r="S103" s="174">
        <f t="shared" si="48"/>
        <v>111273</v>
      </c>
      <c r="T103" s="174">
        <f t="shared" si="49"/>
        <v>799</v>
      </c>
      <c r="U103" s="174">
        <f t="shared" si="50"/>
        <v>110474</v>
      </c>
      <c r="V103" s="165">
        <v>10</v>
      </c>
      <c r="W103" s="165">
        <f>Y103+Z103</f>
        <v>223504.44</v>
      </c>
      <c r="X103" s="167" t="s">
        <v>5</v>
      </c>
      <c r="Y103" s="311">
        <v>194664.85</v>
      </c>
      <c r="Z103" s="311">
        <v>28839.59</v>
      </c>
      <c r="AA103" s="163"/>
      <c r="AC103" s="308">
        <f t="shared" si="46"/>
        <v>17.3314962</v>
      </c>
    </row>
    <row r="104" spans="1:29" ht="15">
      <c r="A104">
        <v>31</v>
      </c>
      <c r="B104" s="280">
        <v>56549</v>
      </c>
      <c r="C104" s="280">
        <v>15158</v>
      </c>
      <c r="D104" s="280">
        <v>11118074</v>
      </c>
      <c r="E104" s="280">
        <v>11079591</v>
      </c>
      <c r="F104" s="280">
        <v>23325</v>
      </c>
      <c r="G104" s="340">
        <f t="shared" si="51"/>
        <v>11203327</v>
      </c>
      <c r="H104" s="280">
        <v>14352</v>
      </c>
      <c r="I104" s="280">
        <v>1831</v>
      </c>
      <c r="J104" s="280">
        <v>12521</v>
      </c>
      <c r="K104" s="280">
        <v>54</v>
      </c>
      <c r="L104" s="280">
        <v>12467</v>
      </c>
      <c r="M104" s="307"/>
      <c r="N104" s="173">
        <f t="shared" si="52"/>
        <v>11174623</v>
      </c>
      <c r="O104" s="173">
        <f t="shared" si="53"/>
        <v>56549</v>
      </c>
      <c r="P104" s="173">
        <f t="shared" si="54"/>
        <v>11132426</v>
      </c>
      <c r="Q104" s="174">
        <f t="shared" si="55"/>
        <v>40314</v>
      </c>
      <c r="R104" s="174">
        <f t="shared" si="47"/>
        <v>11079591</v>
      </c>
      <c r="S104" s="174">
        <f t="shared" si="48"/>
        <v>12521</v>
      </c>
      <c r="T104" s="174">
        <f t="shared" si="49"/>
        <v>54</v>
      </c>
      <c r="U104" s="174">
        <f t="shared" si="50"/>
        <v>12467</v>
      </c>
      <c r="V104" s="176">
        <v>0.4</v>
      </c>
      <c r="W104" s="165">
        <f>Y104+Z104</f>
        <v>0.6</v>
      </c>
      <c r="X104" s="167" t="s">
        <v>5</v>
      </c>
      <c r="Y104" s="310"/>
      <c r="Z104" s="311">
        <v>0.6</v>
      </c>
      <c r="AA104" s="163"/>
      <c r="AC104" s="308">
        <f t="shared" si="46"/>
        <v>14.052843930000002</v>
      </c>
    </row>
    <row r="105" spans="1:29" ht="15">
      <c r="A105">
        <v>30</v>
      </c>
      <c r="B105" s="280">
        <v>52084</v>
      </c>
      <c r="C105" s="280">
        <v>13117</v>
      </c>
      <c r="D105" s="280">
        <v>9318053</v>
      </c>
      <c r="E105" s="280">
        <v>9291872</v>
      </c>
      <c r="F105" s="280">
        <v>13064</v>
      </c>
      <c r="G105" s="340">
        <f t="shared" si="51"/>
        <v>9691995</v>
      </c>
      <c r="H105" s="280">
        <v>160929</v>
      </c>
      <c r="I105" s="280">
        <v>3778</v>
      </c>
      <c r="J105" s="280">
        <v>157151</v>
      </c>
      <c r="K105" s="280">
        <v>2981</v>
      </c>
      <c r="L105" s="280">
        <v>154170</v>
      </c>
      <c r="M105" s="307"/>
      <c r="N105" s="173">
        <f t="shared" si="52"/>
        <v>9370137</v>
      </c>
      <c r="O105" s="173">
        <f t="shared" si="53"/>
        <v>52084</v>
      </c>
      <c r="P105" s="173">
        <f t="shared" si="54"/>
        <v>9478982</v>
      </c>
      <c r="Q105" s="174">
        <f t="shared" si="55"/>
        <v>29959</v>
      </c>
      <c r="R105" s="174">
        <f t="shared" si="47"/>
        <v>9291872</v>
      </c>
      <c r="S105" s="174">
        <f t="shared" si="48"/>
        <v>157151</v>
      </c>
      <c r="T105" s="174">
        <f t="shared" si="49"/>
        <v>2981</v>
      </c>
      <c r="U105" s="174">
        <f t="shared" si="50"/>
        <v>154170</v>
      </c>
      <c r="V105" s="165" t="s">
        <v>346</v>
      </c>
      <c r="W105" s="165"/>
      <c r="X105" s="167"/>
      <c r="Y105" s="310"/>
      <c r="Z105" s="310"/>
      <c r="AA105" s="163"/>
      <c r="AC105" s="308">
        <f t="shared" si="46"/>
        <v>9.2676017</v>
      </c>
    </row>
    <row r="106" spans="1:29" ht="15">
      <c r="A106">
        <v>31</v>
      </c>
      <c r="B106" s="280">
        <v>50229</v>
      </c>
      <c r="C106" s="280">
        <v>11448</v>
      </c>
      <c r="D106" s="280">
        <v>7667920</v>
      </c>
      <c r="E106" s="280">
        <v>7651867</v>
      </c>
      <c r="F106" s="280">
        <v>4605</v>
      </c>
      <c r="G106" s="340">
        <f t="shared" si="51"/>
        <v>7917389</v>
      </c>
      <c r="H106" s="280">
        <v>99620</v>
      </c>
      <c r="I106" s="280">
        <v>2908</v>
      </c>
      <c r="J106" s="280">
        <v>96712</v>
      </c>
      <c r="K106" s="280">
        <v>1103</v>
      </c>
      <c r="L106" s="280">
        <v>95609</v>
      </c>
      <c r="M106" s="307"/>
      <c r="N106" s="173">
        <f t="shared" si="52"/>
        <v>7718149</v>
      </c>
      <c r="O106" s="173">
        <f t="shared" si="53"/>
        <v>50229</v>
      </c>
      <c r="P106" s="173">
        <f t="shared" si="54"/>
        <v>7767540</v>
      </c>
      <c r="Q106" s="174">
        <f t="shared" si="55"/>
        <v>18961</v>
      </c>
      <c r="R106" s="174">
        <f t="shared" si="47"/>
        <v>7651867</v>
      </c>
      <c r="S106" s="174">
        <f t="shared" si="48"/>
        <v>96712</v>
      </c>
      <c r="T106" s="174">
        <f t="shared" si="49"/>
        <v>1103</v>
      </c>
      <c r="U106" s="174">
        <f t="shared" si="50"/>
        <v>95609</v>
      </c>
      <c r="V106" s="165">
        <v>110</v>
      </c>
      <c r="W106" s="165">
        <f>Y106+Z106</f>
        <v>86271.02</v>
      </c>
      <c r="X106" s="167" t="s">
        <v>5</v>
      </c>
      <c r="Y106" s="311">
        <v>86271.02</v>
      </c>
      <c r="Z106" s="310"/>
      <c r="AA106" s="163">
        <f>W106/N114*100</f>
        <v>0.0794028636547643</v>
      </c>
      <c r="AC106" s="308">
        <f t="shared" si="46"/>
        <v>9.143257</v>
      </c>
    </row>
    <row r="107" spans="1:30" ht="15">
      <c r="A107">
        <v>30</v>
      </c>
      <c r="B107" s="280">
        <v>46369</v>
      </c>
      <c r="C107" s="280">
        <v>9768</v>
      </c>
      <c r="D107" s="280">
        <v>6197206</v>
      </c>
      <c r="E107" s="280">
        <v>6184706</v>
      </c>
      <c r="F107" s="280">
        <v>2732</v>
      </c>
      <c r="G107" s="340">
        <f t="shared" si="51"/>
        <v>6501061</v>
      </c>
      <c r="H107" s="280">
        <v>128743</v>
      </c>
      <c r="I107" s="280">
        <v>3099</v>
      </c>
      <c r="J107" s="280">
        <v>125644</v>
      </c>
      <c r="K107" s="280">
        <v>1281</v>
      </c>
      <c r="L107" s="280">
        <v>124363</v>
      </c>
      <c r="M107" s="307"/>
      <c r="N107" s="173">
        <f t="shared" si="52"/>
        <v>6243575</v>
      </c>
      <c r="O107" s="173">
        <f t="shared" si="53"/>
        <v>46369</v>
      </c>
      <c r="P107" s="173">
        <f t="shared" si="54"/>
        <v>6325949</v>
      </c>
      <c r="Q107" s="174">
        <f t="shared" si="55"/>
        <v>15599</v>
      </c>
      <c r="R107" s="174">
        <f t="shared" si="47"/>
        <v>6184706</v>
      </c>
      <c r="S107" s="174">
        <f t="shared" si="48"/>
        <v>125644</v>
      </c>
      <c r="T107" s="174">
        <f t="shared" si="49"/>
        <v>1281</v>
      </c>
      <c r="U107" s="174">
        <f t="shared" si="50"/>
        <v>124363</v>
      </c>
      <c r="V107" s="165">
        <v>10</v>
      </c>
      <c r="W107" s="165">
        <f>Y107+Z107</f>
        <v>10800.470000000001</v>
      </c>
      <c r="X107" s="167" t="s">
        <v>5</v>
      </c>
      <c r="Y107" s="311">
        <v>132.03</v>
      </c>
      <c r="Z107" s="311">
        <v>10668.44</v>
      </c>
      <c r="AA107" s="163">
        <f>W107/P114*100</f>
        <v>0.009864676232124364</v>
      </c>
      <c r="AC107" s="308">
        <f t="shared" si="46"/>
        <v>10.450411800000001</v>
      </c>
      <c r="AD107" s="80"/>
    </row>
    <row r="108" spans="1:29" ht="15">
      <c r="A108">
        <v>31</v>
      </c>
      <c r="B108" s="280">
        <v>46119</v>
      </c>
      <c r="C108" s="280">
        <v>9045</v>
      </c>
      <c r="D108" s="280">
        <v>5423236</v>
      </c>
      <c r="E108" s="280">
        <v>5411354</v>
      </c>
      <c r="F108" s="280">
        <v>2837</v>
      </c>
      <c r="G108" s="340">
        <f t="shared" si="51"/>
        <v>5659907</v>
      </c>
      <c r="H108" s="280">
        <v>95276</v>
      </c>
      <c r="I108" s="280">
        <v>3181</v>
      </c>
      <c r="J108" s="280">
        <v>92095</v>
      </c>
      <c r="K108" s="280">
        <v>673</v>
      </c>
      <c r="L108" s="280">
        <v>91422</v>
      </c>
      <c r="M108" s="307"/>
      <c r="N108" s="173">
        <f t="shared" si="52"/>
        <v>5469355</v>
      </c>
      <c r="O108" s="173">
        <f t="shared" si="53"/>
        <v>46119</v>
      </c>
      <c r="P108" s="173">
        <f t="shared" si="54"/>
        <v>5518512</v>
      </c>
      <c r="Q108" s="174">
        <f t="shared" si="55"/>
        <v>15063</v>
      </c>
      <c r="R108" s="174">
        <f t="shared" si="47"/>
        <v>5411354</v>
      </c>
      <c r="S108" s="174">
        <f t="shared" si="48"/>
        <v>92095</v>
      </c>
      <c r="T108" s="174">
        <f t="shared" si="49"/>
        <v>673</v>
      </c>
      <c r="U108" s="174">
        <f t="shared" si="50"/>
        <v>91422</v>
      </c>
      <c r="V108" s="176">
        <v>0.4</v>
      </c>
      <c r="W108" s="165">
        <f>Y108+Z108</f>
        <v>14633.35</v>
      </c>
      <c r="X108" s="167" t="s">
        <v>5</v>
      </c>
      <c r="Y108" s="310"/>
      <c r="Z108" s="312">
        <v>14633.35</v>
      </c>
      <c r="AA108" s="163">
        <f>W108/AA111/1000</f>
        <v>7.208546798029558</v>
      </c>
      <c r="AC108" s="308">
        <f t="shared" si="46"/>
        <v>10.973171</v>
      </c>
    </row>
    <row r="109" spans="1:29" ht="15">
      <c r="A109">
        <v>31</v>
      </c>
      <c r="B109" s="280">
        <v>46601</v>
      </c>
      <c r="C109" s="280">
        <v>9326</v>
      </c>
      <c r="D109" s="280">
        <v>5686243</v>
      </c>
      <c r="E109" s="280">
        <v>5674065</v>
      </c>
      <c r="F109" s="280">
        <v>2852</v>
      </c>
      <c r="G109" s="340">
        <f t="shared" si="51"/>
        <v>5936980</v>
      </c>
      <c r="H109" s="280">
        <v>102068</v>
      </c>
      <c r="I109" s="280">
        <v>3088</v>
      </c>
      <c r="J109" s="280">
        <v>98980</v>
      </c>
      <c r="K109" s="280">
        <v>683</v>
      </c>
      <c r="L109" s="280">
        <v>98297</v>
      </c>
      <c r="M109" s="307"/>
      <c r="N109" s="173">
        <f t="shared" si="52"/>
        <v>5732844</v>
      </c>
      <c r="O109" s="173">
        <f t="shared" si="53"/>
        <v>46601</v>
      </c>
      <c r="P109" s="173">
        <f t="shared" si="54"/>
        <v>5788311</v>
      </c>
      <c r="Q109" s="174">
        <f t="shared" si="55"/>
        <v>15266</v>
      </c>
      <c r="R109" s="174">
        <f t="shared" si="47"/>
        <v>5674065</v>
      </c>
      <c r="S109" s="174">
        <f t="shared" si="48"/>
        <v>98980</v>
      </c>
      <c r="T109" s="174">
        <f t="shared" si="49"/>
        <v>683</v>
      </c>
      <c r="U109" s="174">
        <f t="shared" si="50"/>
        <v>98297</v>
      </c>
      <c r="V109" s="165" t="s">
        <v>344</v>
      </c>
      <c r="W109" s="165"/>
      <c r="X109" s="167"/>
      <c r="Y109" s="310"/>
      <c r="Z109" s="310"/>
      <c r="AA109" s="163"/>
      <c r="AC109" s="308">
        <f t="shared" si="46"/>
        <v>11.952681100000001</v>
      </c>
    </row>
    <row r="110" spans="1:29" ht="15">
      <c r="A110">
        <v>30</v>
      </c>
      <c r="B110" s="280">
        <v>47136</v>
      </c>
      <c r="C110" s="280">
        <v>10219</v>
      </c>
      <c r="D110" s="280">
        <v>6615942</v>
      </c>
      <c r="E110" s="280">
        <v>6600761</v>
      </c>
      <c r="F110" s="280">
        <v>4962</v>
      </c>
      <c r="G110" s="340">
        <f t="shared" si="51"/>
        <v>6905622</v>
      </c>
      <c r="H110" s="280">
        <v>121272</v>
      </c>
      <c r="I110" s="280">
        <v>3416</v>
      </c>
      <c r="J110" s="280">
        <v>117856</v>
      </c>
      <c r="K110" s="280">
        <v>1057</v>
      </c>
      <c r="L110" s="280">
        <v>116799</v>
      </c>
      <c r="M110" s="307"/>
      <c r="N110" s="173">
        <f t="shared" si="52"/>
        <v>6663078</v>
      </c>
      <c r="O110" s="173">
        <f t="shared" si="53"/>
        <v>47136</v>
      </c>
      <c r="P110" s="173">
        <f t="shared" si="54"/>
        <v>6737214</v>
      </c>
      <c r="Q110" s="174">
        <f t="shared" si="55"/>
        <v>18597</v>
      </c>
      <c r="R110" s="174">
        <f t="shared" si="47"/>
        <v>6600761</v>
      </c>
      <c r="S110" s="174">
        <f t="shared" si="48"/>
        <v>117856</v>
      </c>
      <c r="T110" s="174">
        <f t="shared" si="49"/>
        <v>1057</v>
      </c>
      <c r="U110" s="174">
        <f t="shared" si="50"/>
        <v>116799</v>
      </c>
      <c r="V110" s="165">
        <v>110</v>
      </c>
      <c r="W110" s="165">
        <f>Y110+Z110</f>
        <v>158071.98</v>
      </c>
      <c r="X110" s="167" t="s">
        <v>5</v>
      </c>
      <c r="Y110" s="312">
        <v>158071.98</v>
      </c>
      <c r="Z110" s="310"/>
      <c r="AA110" s="163" t="s">
        <v>171</v>
      </c>
      <c r="AC110" s="308">
        <f t="shared" si="46"/>
        <v>15.757376400000002</v>
      </c>
    </row>
    <row r="111" spans="1:29" ht="15">
      <c r="A111">
        <v>31</v>
      </c>
      <c r="B111" s="280">
        <v>53499</v>
      </c>
      <c r="C111" s="280">
        <v>13369</v>
      </c>
      <c r="D111" s="280">
        <v>9452591</v>
      </c>
      <c r="E111" s="280">
        <v>9422891</v>
      </c>
      <c r="F111" s="280">
        <v>16331</v>
      </c>
      <c r="G111" s="340">
        <f t="shared" si="51"/>
        <v>9986920</v>
      </c>
      <c r="H111" s="280">
        <v>240415</v>
      </c>
      <c r="I111" s="280">
        <v>5028</v>
      </c>
      <c r="J111" s="280">
        <v>235387</v>
      </c>
      <c r="K111" s="280">
        <v>3329</v>
      </c>
      <c r="L111" s="280">
        <v>232058</v>
      </c>
      <c r="M111" s="307"/>
      <c r="N111" s="173">
        <f t="shared" si="52"/>
        <v>9506090</v>
      </c>
      <c r="O111" s="173">
        <f t="shared" si="53"/>
        <v>53499</v>
      </c>
      <c r="P111" s="173">
        <f t="shared" si="54"/>
        <v>9693006</v>
      </c>
      <c r="Q111" s="174">
        <f t="shared" si="55"/>
        <v>34728</v>
      </c>
      <c r="R111" s="174">
        <f t="shared" si="47"/>
        <v>9422891</v>
      </c>
      <c r="S111" s="174">
        <f t="shared" si="48"/>
        <v>235387</v>
      </c>
      <c r="T111" s="174">
        <f t="shared" si="49"/>
        <v>3329</v>
      </c>
      <c r="U111" s="174">
        <f t="shared" si="50"/>
        <v>232058</v>
      </c>
      <c r="V111" s="165">
        <v>10</v>
      </c>
      <c r="W111" s="165">
        <f>Y111+Z111</f>
        <v>119821.12</v>
      </c>
      <c r="X111" s="167" t="s">
        <v>5</v>
      </c>
      <c r="Y111" s="312">
        <v>119821.12</v>
      </c>
      <c r="Z111" s="312"/>
      <c r="AA111" s="163">
        <v>2.03</v>
      </c>
      <c r="AC111" s="308">
        <f t="shared" si="46"/>
        <v>18.8168916</v>
      </c>
    </row>
    <row r="112" spans="1:29" ht="15">
      <c r="A112">
        <v>30</v>
      </c>
      <c r="B112" s="280">
        <v>55100</v>
      </c>
      <c r="C112" s="280">
        <v>14887</v>
      </c>
      <c r="D112" s="280">
        <v>10964158</v>
      </c>
      <c r="E112" s="280">
        <v>10927517</v>
      </c>
      <c r="F112" s="280">
        <v>21754</v>
      </c>
      <c r="G112" s="340">
        <f t="shared" si="51"/>
        <v>11350378</v>
      </c>
      <c r="H112" s="280">
        <v>165560</v>
      </c>
      <c r="I112" s="280">
        <v>4098</v>
      </c>
      <c r="J112" s="280">
        <v>161462</v>
      </c>
      <c r="K112" s="280">
        <v>2105</v>
      </c>
      <c r="L112" s="280">
        <v>159357</v>
      </c>
      <c r="M112" s="307"/>
      <c r="N112" s="173">
        <f t="shared" si="52"/>
        <v>11019258</v>
      </c>
      <c r="O112" s="173">
        <f t="shared" si="53"/>
        <v>55100</v>
      </c>
      <c r="P112" s="173">
        <f t="shared" si="54"/>
        <v>11129718</v>
      </c>
      <c r="Q112" s="174">
        <f t="shared" si="55"/>
        <v>40739</v>
      </c>
      <c r="R112" s="174">
        <f t="shared" si="47"/>
        <v>10927517</v>
      </c>
      <c r="S112" s="174">
        <f t="shared" si="48"/>
        <v>161462</v>
      </c>
      <c r="T112" s="174">
        <f t="shared" si="49"/>
        <v>2105</v>
      </c>
      <c r="U112" s="174">
        <f t="shared" si="50"/>
        <v>159357</v>
      </c>
      <c r="V112" s="176">
        <v>0.4</v>
      </c>
      <c r="W112" s="165">
        <f>Y112+Z112</f>
        <v>794.05</v>
      </c>
      <c r="X112" s="167" t="s">
        <v>5</v>
      </c>
      <c r="Y112" s="313"/>
      <c r="Z112" s="309">
        <v>794.05</v>
      </c>
      <c r="AA112" s="163"/>
      <c r="AC112" s="308">
        <f t="shared" si="46"/>
        <v>21.143735000000003</v>
      </c>
    </row>
    <row r="113" spans="1:29" ht="15">
      <c r="A113">
        <v>31</v>
      </c>
      <c r="B113" s="280">
        <v>58372</v>
      </c>
      <c r="C113" s="280">
        <v>16220</v>
      </c>
      <c r="D113" s="280">
        <v>12113761</v>
      </c>
      <c r="E113" s="280">
        <v>12075679</v>
      </c>
      <c r="F113" s="280">
        <v>21862</v>
      </c>
      <c r="G113" s="340">
        <f t="shared" si="51"/>
        <v>12371101</v>
      </c>
      <c r="H113" s="280">
        <v>99484</v>
      </c>
      <c r="I113" s="280">
        <v>2942</v>
      </c>
      <c r="J113" s="280">
        <v>96542</v>
      </c>
      <c r="K113" s="280">
        <v>600</v>
      </c>
      <c r="L113" s="280">
        <v>95942</v>
      </c>
      <c r="M113" s="307"/>
      <c r="N113" s="173">
        <f t="shared" si="52"/>
        <v>12172133</v>
      </c>
      <c r="O113" s="173">
        <f t="shared" si="53"/>
        <v>58372</v>
      </c>
      <c r="P113" s="173">
        <f t="shared" si="54"/>
        <v>12213245</v>
      </c>
      <c r="Q113" s="174">
        <f t="shared" si="55"/>
        <v>41024</v>
      </c>
      <c r="R113" s="174">
        <f t="shared" si="47"/>
        <v>12075679</v>
      </c>
      <c r="S113" s="174">
        <f t="shared" si="48"/>
        <v>96542</v>
      </c>
      <c r="T113" s="174">
        <f t="shared" si="49"/>
        <v>600</v>
      </c>
      <c r="U113" s="174">
        <f t="shared" si="50"/>
        <v>95942</v>
      </c>
      <c r="V113" s="177" t="s">
        <v>225</v>
      </c>
      <c r="W113" s="284">
        <f>AC113-W114-W115</f>
        <v>14.188750635833332</v>
      </c>
      <c r="X113" s="177" t="s">
        <v>4</v>
      </c>
      <c r="Y113" s="163"/>
      <c r="Z113" s="163"/>
      <c r="AA113" s="163"/>
      <c r="AC113" s="285">
        <f>AVERAGE(AC101:AC112)</f>
        <v>14.849050635833331</v>
      </c>
    </row>
    <row r="114" spans="2:29" ht="15">
      <c r="B114" s="281">
        <f>SUM(B102:B113)</f>
        <v>623635</v>
      </c>
      <c r="C114" s="281">
        <f>SUM(C102:C113)</f>
        <v>153980</v>
      </c>
      <c r="D114" s="281">
        <f>SUM(D102:D113)</f>
        <v>108026124</v>
      </c>
      <c r="E114" s="281">
        <f>SUM(E102:E113)</f>
        <v>107711506</v>
      </c>
      <c r="F114" s="281">
        <f>SUM(F102:F113)</f>
        <v>160638</v>
      </c>
      <c r="G114" s="282"/>
      <c r="H114" s="281">
        <f>SUM(H102:H113)</f>
        <v>1460186</v>
      </c>
      <c r="I114" s="281">
        <f>SUM(I102:I113)</f>
        <v>39508</v>
      </c>
      <c r="J114" s="281">
        <f>SUM(J102:J113)</f>
        <v>1420678</v>
      </c>
      <c r="K114" s="281">
        <f>SUM(K102:K113)</f>
        <v>15428</v>
      </c>
      <c r="L114" s="281">
        <f>SUM(L102:L113)</f>
        <v>1405250</v>
      </c>
      <c r="M114" s="281"/>
      <c r="N114" s="181">
        <f aca="true" t="shared" si="56" ref="N114:U114">SUM(N102:N113)</f>
        <v>108649759</v>
      </c>
      <c r="O114" s="181">
        <f t="shared" si="56"/>
        <v>623635</v>
      </c>
      <c r="P114" s="181">
        <f t="shared" si="56"/>
        <v>109486310</v>
      </c>
      <c r="Q114" s="181">
        <f t="shared" si="56"/>
        <v>354126</v>
      </c>
      <c r="R114" s="181">
        <f t="shared" si="56"/>
        <v>107711506</v>
      </c>
      <c r="S114" s="181">
        <f t="shared" si="56"/>
        <v>1420678</v>
      </c>
      <c r="T114" s="181">
        <f t="shared" si="56"/>
        <v>15428</v>
      </c>
      <c r="U114" s="181">
        <f t="shared" si="56"/>
        <v>1405250</v>
      </c>
      <c r="V114" s="178" t="s">
        <v>158</v>
      </c>
      <c r="W114" s="284">
        <f>ROUND(W96*1.07,4)</f>
        <v>0.1923</v>
      </c>
      <c r="X114" s="177" t="s">
        <v>4</v>
      </c>
      <c r="Y114" s="283"/>
      <c r="Z114" s="163"/>
      <c r="AA114" s="163"/>
      <c r="AC114" s="42"/>
    </row>
    <row r="115" spans="6:23" ht="15">
      <c r="F115" s="31">
        <v>31</v>
      </c>
      <c r="G115" s="341">
        <f>ROUND(B102+C102+F102+I102+K102+H102*0.0472,0)</f>
        <v>110109</v>
      </c>
      <c r="M115" s="412"/>
      <c r="N115" s="413" t="s">
        <v>544</v>
      </c>
      <c r="O115" s="413" t="s">
        <v>545</v>
      </c>
      <c r="P115" s="413"/>
      <c r="Q115" s="413" t="s">
        <v>543</v>
      </c>
      <c r="U115" s="181"/>
      <c r="V115" s="178" t="s">
        <v>482</v>
      </c>
      <c r="W115" s="284">
        <f>'нов ИСХ'!O56+'нов ИСХ'!O57</f>
        <v>0.468</v>
      </c>
    </row>
    <row r="116" spans="1:23" ht="15">
      <c r="A116" s="29"/>
      <c r="B116" s="29"/>
      <c r="C116" s="29"/>
      <c r="D116" s="29"/>
      <c r="E116" s="29"/>
      <c r="F116" s="36">
        <v>28</v>
      </c>
      <c r="G116" s="341">
        <f aca="true" t="shared" si="57" ref="G116:G126">ROUND(B103+C103+F103+I103+K103+H103*0.0472,0)</f>
        <v>97878</v>
      </c>
      <c r="H116" s="328"/>
      <c r="I116" s="29"/>
      <c r="J116" s="29"/>
      <c r="K116" s="29"/>
      <c r="L116" s="29"/>
      <c r="M116" s="413" t="s">
        <v>546</v>
      </c>
      <c r="N116" s="413">
        <f>58.7232+51.3867</f>
        <v>110.1099</v>
      </c>
      <c r="O116" s="413">
        <f>0.5124+0.4808</f>
        <v>0.9932</v>
      </c>
      <c r="P116" s="417">
        <f>N116-O116</f>
        <v>109.1167</v>
      </c>
      <c r="Q116" s="413">
        <f>(14.8491+14.849)/2</f>
        <v>14.84905</v>
      </c>
      <c r="U116" s="178" t="s">
        <v>223</v>
      </c>
      <c r="V116" s="178" t="s">
        <v>343</v>
      </c>
      <c r="W116" s="284">
        <f>W97</f>
        <v>0.5</v>
      </c>
    </row>
    <row r="117" spans="1:29" ht="15">
      <c r="A117" s="29"/>
      <c r="B117" s="29"/>
      <c r="C117" s="29"/>
      <c r="D117" s="29"/>
      <c r="E117" s="29"/>
      <c r="F117" s="36">
        <v>31</v>
      </c>
      <c r="G117" s="341">
        <f t="shared" si="57"/>
        <v>97594</v>
      </c>
      <c r="H117" s="329"/>
      <c r="I117" s="29"/>
      <c r="J117" s="29"/>
      <c r="K117" s="29"/>
      <c r="L117" s="29"/>
      <c r="M117" s="29"/>
      <c r="N117" s="415">
        <f>N116*1000000-S117</f>
        <v>107928382</v>
      </c>
      <c r="O117" s="416">
        <f>ROUND(O116*1000000/(O114+Q114+T114)*O114,0)</f>
        <v>623642</v>
      </c>
      <c r="P117" s="415">
        <f>N117-O117+S117</f>
        <v>109486258</v>
      </c>
      <c r="Q117" s="416">
        <f>ROUND(O116*1000000/(O114+Q114+T114)*Q114,0)</f>
        <v>354130</v>
      </c>
      <c r="R117" s="415">
        <f>P117-Q117-S117</f>
        <v>106950610</v>
      </c>
      <c r="S117" s="414">
        <f>U118-T117</f>
        <v>2181518</v>
      </c>
      <c r="T117" s="414">
        <f>ROUND(O116*1000000/(O114+Q114+T114)*T114,0)</f>
        <v>15428</v>
      </c>
      <c r="U117" s="414">
        <f>S117-T117</f>
        <v>2166090</v>
      </c>
      <c r="W117" s="163"/>
      <c r="X117" s="411"/>
      <c r="Y117" s="411"/>
      <c r="Z117" s="411"/>
      <c r="AA117" s="411"/>
      <c r="AB117" s="411"/>
      <c r="AC117" s="411"/>
    </row>
    <row r="118" spans="1:23" ht="15">
      <c r="A118" s="29"/>
      <c r="B118" s="330"/>
      <c r="C118" s="330"/>
      <c r="D118" s="330"/>
      <c r="E118" s="330"/>
      <c r="F118" s="342">
        <v>30</v>
      </c>
      <c r="G118" s="341">
        <f t="shared" si="57"/>
        <v>92620</v>
      </c>
      <c r="H118" s="331"/>
      <c r="I118" s="331"/>
      <c r="J118" s="331"/>
      <c r="K118" s="331"/>
      <c r="L118" s="331"/>
      <c r="M118" s="331"/>
      <c r="N118" s="332"/>
      <c r="O118" s="332"/>
      <c r="P118" s="416" t="s">
        <v>580</v>
      </c>
      <c r="Q118" s="416"/>
      <c r="R118" s="416"/>
      <c r="S118" s="261"/>
      <c r="T118" s="50"/>
      <c r="U118" s="30">
        <f>'нов ИСХ'!O50+'нов ИСХ'!O36</f>
        <v>2196946</v>
      </c>
      <c r="V118" s="411"/>
      <c r="W118" s="163"/>
    </row>
    <row r="119" spans="1:28" ht="18.75">
      <c r="A119" s="29"/>
      <c r="B119" s="334"/>
      <c r="C119" s="334"/>
      <c r="D119" s="334"/>
      <c r="E119" s="334"/>
      <c r="F119" s="342">
        <v>31</v>
      </c>
      <c r="G119" s="341">
        <f t="shared" si="57"/>
        <v>74995</v>
      </c>
      <c r="H119" s="335"/>
      <c r="I119" s="335"/>
      <c r="J119" s="335"/>
      <c r="K119" s="335"/>
      <c r="L119" s="335"/>
      <c r="M119" s="335"/>
      <c r="N119" s="332"/>
      <c r="O119" s="332"/>
      <c r="P119" s="333"/>
      <c r="Q119" s="30"/>
      <c r="R119" s="42"/>
      <c r="S119" s="43" t="s">
        <v>227</v>
      </c>
      <c r="T119" s="42"/>
      <c r="U119" s="269"/>
      <c r="V119" s="50"/>
      <c r="W119" s="50"/>
      <c r="X119" s="266" t="s">
        <v>112</v>
      </c>
      <c r="Y119" s="266"/>
      <c r="Z119" s="262"/>
      <c r="AA119" s="50"/>
      <c r="AB119" s="50"/>
    </row>
    <row r="120" spans="1:32" ht="57">
      <c r="A120" s="29"/>
      <c r="B120" s="334"/>
      <c r="C120" s="334"/>
      <c r="D120" s="334"/>
      <c r="E120" s="334"/>
      <c r="F120" s="342">
        <v>30</v>
      </c>
      <c r="G120" s="341">
        <f t="shared" si="57"/>
        <v>69326</v>
      </c>
      <c r="H120" s="331"/>
      <c r="I120" s="331"/>
      <c r="J120" s="331"/>
      <c r="K120" s="331"/>
      <c r="L120" s="331"/>
      <c r="M120" s="331"/>
      <c r="N120" s="332"/>
      <c r="O120" s="332"/>
      <c r="P120" s="333"/>
      <c r="Q120" s="30"/>
      <c r="R120" s="38"/>
      <c r="S120" s="38">
        <v>2012</v>
      </c>
      <c r="T120" s="38">
        <v>2013</v>
      </c>
      <c r="U120" s="42"/>
      <c r="V120" s="42"/>
      <c r="W120" s="205"/>
      <c r="X120" s="206">
        <v>2016</v>
      </c>
      <c r="Y120" s="206">
        <v>2017</v>
      </c>
      <c r="Z120" s="295" t="s">
        <v>464</v>
      </c>
      <c r="AA120" s="390" t="s">
        <v>540</v>
      </c>
      <c r="AB120" s="388" t="s">
        <v>539</v>
      </c>
      <c r="AC120" s="388" t="s">
        <v>575</v>
      </c>
      <c r="AD120" s="388" t="s">
        <v>576</v>
      </c>
      <c r="AE120" s="388" t="s">
        <v>577</v>
      </c>
      <c r="AF120" s="388" t="s">
        <v>578</v>
      </c>
    </row>
    <row r="121" spans="1:32" ht="14.25">
      <c r="A121" s="29"/>
      <c r="B121" s="334"/>
      <c r="C121" s="334"/>
      <c r="D121" s="334"/>
      <c r="E121" s="334"/>
      <c r="F121" s="342">
        <v>31</v>
      </c>
      <c r="G121" s="341">
        <f t="shared" si="57"/>
        <v>66352</v>
      </c>
      <c r="H121" s="331"/>
      <c r="I121" s="331"/>
      <c r="J121" s="331"/>
      <c r="K121" s="331"/>
      <c r="L121" s="331"/>
      <c r="M121" s="331"/>
      <c r="N121" s="332"/>
      <c r="O121" s="332"/>
      <c r="P121" s="333"/>
      <c r="Q121" s="30"/>
      <c r="R121" s="44" t="s">
        <v>270</v>
      </c>
      <c r="S121" s="637">
        <f>624176.95+158642.17+137203.37</f>
        <v>920022.49</v>
      </c>
      <c r="T121" s="46">
        <v>349305.25</v>
      </c>
      <c r="U121" s="38">
        <v>2014</v>
      </c>
      <c r="V121" s="192" t="s">
        <v>172</v>
      </c>
      <c r="W121" s="206">
        <v>2015</v>
      </c>
      <c r="X121" s="207">
        <v>217597.26</v>
      </c>
      <c r="Y121" s="207">
        <v>95572.83</v>
      </c>
      <c r="Z121" s="263">
        <f aca="true" t="shared" si="58" ref="Z121:Z126">(B84+C84+F84+I84+K84)*$W$141/1000*1.18</f>
        <v>222974.42719613604</v>
      </c>
      <c r="AA121" s="270" t="e">
        <f aca="true" t="shared" si="59" ref="AA121:AA132">(B102+C102+F102+I102+K102)*$AA$135</f>
        <v>#REF!</v>
      </c>
      <c r="AB121" s="387">
        <f>Y121*(1+7/100)</f>
        <v>102262.9281</v>
      </c>
      <c r="AC121" s="85"/>
      <c r="AD121" s="85"/>
      <c r="AE121" s="85"/>
      <c r="AF121" s="85"/>
    </row>
    <row r="122" spans="1:32" ht="14.25">
      <c r="A122" s="29"/>
      <c r="B122" s="334"/>
      <c r="C122" s="334"/>
      <c r="D122" s="334"/>
      <c r="E122" s="334"/>
      <c r="F122" s="342">
        <v>31</v>
      </c>
      <c r="G122" s="341">
        <f t="shared" si="57"/>
        <v>67368</v>
      </c>
      <c r="H122" s="331"/>
      <c r="I122" s="331"/>
      <c r="J122" s="331"/>
      <c r="K122" s="331"/>
      <c r="L122" s="331"/>
      <c r="M122" s="331"/>
      <c r="N122" s="332"/>
      <c r="O122" s="332"/>
      <c r="P122" s="333"/>
      <c r="Q122" s="30"/>
      <c r="R122" s="44" t="s">
        <v>272</v>
      </c>
      <c r="S122" s="637"/>
      <c r="T122" s="46">
        <v>312040.59</v>
      </c>
      <c r="U122" s="46">
        <v>382962.09</v>
      </c>
      <c r="V122" s="193">
        <v>382962.09</v>
      </c>
      <c r="W122" s="207">
        <v>139251.03</v>
      </c>
      <c r="X122" s="207">
        <v>186118.66</v>
      </c>
      <c r="Y122" s="207">
        <v>105722.19</v>
      </c>
      <c r="Z122" s="263">
        <f t="shared" si="58"/>
        <v>198021.95938657364</v>
      </c>
      <c r="AA122" s="270" t="e">
        <f t="shared" si="59"/>
        <v>#REF!</v>
      </c>
      <c r="AB122" s="387">
        <f aca="true" t="shared" si="60" ref="AB122:AB132">Y122*(1+7/100)</f>
        <v>113122.7433</v>
      </c>
      <c r="AC122" s="85"/>
      <c r="AD122" s="85"/>
      <c r="AE122" s="85"/>
      <c r="AF122" s="85"/>
    </row>
    <row r="123" spans="1:32" ht="14.25">
      <c r="A123" s="29"/>
      <c r="B123" s="334"/>
      <c r="C123" s="334"/>
      <c r="D123" s="334"/>
      <c r="E123" s="334"/>
      <c r="F123" s="342">
        <v>30</v>
      </c>
      <c r="G123" s="341">
        <f t="shared" si="57"/>
        <v>72514</v>
      </c>
      <c r="H123" s="331"/>
      <c r="I123" s="331"/>
      <c r="J123" s="331"/>
      <c r="K123" s="331"/>
      <c r="L123" s="331"/>
      <c r="M123" s="331"/>
      <c r="N123" s="332"/>
      <c r="O123" s="332"/>
      <c r="P123" s="333"/>
      <c r="Q123" s="30"/>
      <c r="R123" s="44" t="s">
        <v>273</v>
      </c>
      <c r="S123" s="637"/>
      <c r="T123" s="46">
        <v>344748.51</v>
      </c>
      <c r="U123" s="46">
        <v>263274.18</v>
      </c>
      <c r="V123" s="193">
        <v>263274.18</v>
      </c>
      <c r="W123" s="207">
        <v>84335.89</v>
      </c>
      <c r="X123" s="207">
        <v>179652.12</v>
      </c>
      <c r="Y123" s="207">
        <v>81203.43</v>
      </c>
      <c r="Z123" s="263">
        <f t="shared" si="58"/>
        <v>220446.26034759832</v>
      </c>
      <c r="AA123" s="270" t="e">
        <f t="shared" si="59"/>
        <v>#REF!</v>
      </c>
      <c r="AB123" s="387">
        <f t="shared" si="60"/>
        <v>86887.6701</v>
      </c>
      <c r="AC123" s="85"/>
      <c r="AD123" s="85"/>
      <c r="AE123" s="85"/>
      <c r="AF123" s="85"/>
    </row>
    <row r="124" spans="1:32" ht="14.25">
      <c r="A124" s="29"/>
      <c r="B124" s="334"/>
      <c r="C124" s="334"/>
      <c r="D124" s="334"/>
      <c r="E124" s="334"/>
      <c r="F124" s="342">
        <v>31</v>
      </c>
      <c r="G124" s="341">
        <f t="shared" si="57"/>
        <v>102904</v>
      </c>
      <c r="H124" s="331"/>
      <c r="I124" s="331"/>
      <c r="J124" s="331"/>
      <c r="K124" s="331"/>
      <c r="L124" s="331"/>
      <c r="M124" s="331"/>
      <c r="N124" s="332"/>
      <c r="O124" s="332"/>
      <c r="P124" s="333"/>
      <c r="Q124" s="30"/>
      <c r="R124" s="44" t="s">
        <v>274</v>
      </c>
      <c r="S124" s="637"/>
      <c r="T124" s="46">
        <v>239372.26</v>
      </c>
      <c r="U124" s="46">
        <v>257365.61</v>
      </c>
      <c r="V124" s="193">
        <v>257365.61</v>
      </c>
      <c r="W124" s="207">
        <v>103486.26</v>
      </c>
      <c r="X124" s="207">
        <v>75862.44</v>
      </c>
      <c r="Y124" s="207">
        <v>86235.19</v>
      </c>
      <c r="Z124" s="263">
        <f t="shared" si="58"/>
        <v>208178.00233089662</v>
      </c>
      <c r="AA124" s="270" t="e">
        <f t="shared" si="59"/>
        <v>#REF!</v>
      </c>
      <c r="AB124" s="387">
        <f t="shared" si="60"/>
        <v>92271.6533</v>
      </c>
      <c r="AC124" s="85"/>
      <c r="AD124" s="85"/>
      <c r="AE124" s="85"/>
      <c r="AF124" s="85"/>
    </row>
    <row r="125" spans="1:32" ht="14.25">
      <c r="A125" s="29"/>
      <c r="B125" s="334"/>
      <c r="C125" s="334"/>
      <c r="D125" s="334"/>
      <c r="E125" s="334"/>
      <c r="F125" s="342">
        <v>30</v>
      </c>
      <c r="G125" s="341">
        <f t="shared" si="57"/>
        <v>105758</v>
      </c>
      <c r="H125" s="331"/>
      <c r="I125" s="331"/>
      <c r="J125" s="331"/>
      <c r="K125" s="331"/>
      <c r="L125" s="331"/>
      <c r="M125" s="331"/>
      <c r="N125" s="332"/>
      <c r="O125" s="332"/>
      <c r="P125" s="333"/>
      <c r="Q125" s="30"/>
      <c r="R125" s="44" t="s">
        <v>275</v>
      </c>
      <c r="S125" s="637"/>
      <c r="T125" s="46">
        <v>163564.43</v>
      </c>
      <c r="U125" s="46">
        <v>154188.14</v>
      </c>
      <c r="V125" s="193">
        <v>154188.14</v>
      </c>
      <c r="W125" s="207">
        <v>34980.38</v>
      </c>
      <c r="X125" s="207">
        <v>0</v>
      </c>
      <c r="Y125" s="207">
        <v>44727.45</v>
      </c>
      <c r="Z125" s="263">
        <f t="shared" si="58"/>
        <v>169782.2402324591</v>
      </c>
      <c r="AA125" s="270" t="e">
        <f t="shared" si="59"/>
        <v>#REF!</v>
      </c>
      <c r="AB125" s="387">
        <f t="shared" si="60"/>
        <v>47858.3715</v>
      </c>
      <c r="AC125" s="85"/>
      <c r="AD125" s="85"/>
      <c r="AE125" s="85"/>
      <c r="AF125" s="85"/>
    </row>
    <row r="126" spans="1:32" ht="14.25">
      <c r="A126" s="29"/>
      <c r="B126" s="334"/>
      <c r="C126" s="334"/>
      <c r="D126" s="334"/>
      <c r="E126" s="334"/>
      <c r="F126" s="342">
        <v>31</v>
      </c>
      <c r="G126" s="341">
        <f t="shared" si="57"/>
        <v>104692</v>
      </c>
      <c r="H126" s="331"/>
      <c r="I126" s="331"/>
      <c r="J126" s="331"/>
      <c r="K126" s="331"/>
      <c r="L126" s="331"/>
      <c r="M126" s="331"/>
      <c r="N126" s="332"/>
      <c r="O126" s="332"/>
      <c r="P126" s="333"/>
      <c r="Q126" s="30"/>
      <c r="R126" s="44" t="s">
        <v>276</v>
      </c>
      <c r="S126" s="46">
        <f>3579.03+5610.27+111853.09</f>
        <v>121042.39</v>
      </c>
      <c r="T126" s="46">
        <v>116896.15</v>
      </c>
      <c r="U126" s="46">
        <v>74177.28</v>
      </c>
      <c r="V126" s="193">
        <v>74177.28</v>
      </c>
      <c r="W126" s="207">
        <v>99913.68</v>
      </c>
      <c r="X126" s="207">
        <v>63040.27</v>
      </c>
      <c r="Y126" s="207">
        <v>41903.3</v>
      </c>
      <c r="Z126" s="263">
        <f t="shared" si="58"/>
        <v>138074.114891969</v>
      </c>
      <c r="AA126" s="270" t="e">
        <f t="shared" si="59"/>
        <v>#REF!</v>
      </c>
      <c r="AB126" s="387">
        <f t="shared" si="60"/>
        <v>44836.531</v>
      </c>
      <c r="AC126" s="85"/>
      <c r="AD126" s="85"/>
      <c r="AE126" s="85"/>
      <c r="AF126" s="85"/>
    </row>
    <row r="127" spans="1:32" ht="14.25">
      <c r="A127" s="29"/>
      <c r="B127" s="334"/>
      <c r="C127" s="334"/>
      <c r="D127" s="334"/>
      <c r="E127" s="334"/>
      <c r="F127" s="334"/>
      <c r="G127" s="334"/>
      <c r="H127" s="331"/>
      <c r="I127" s="331"/>
      <c r="J127" s="331"/>
      <c r="K127" s="331"/>
      <c r="L127" s="331"/>
      <c r="M127" s="331"/>
      <c r="N127" s="332"/>
      <c r="O127" s="332"/>
      <c r="P127" s="333"/>
      <c r="Q127" s="30"/>
      <c r="R127" s="44" t="s">
        <v>277</v>
      </c>
      <c r="S127" s="46">
        <f>128933.71</f>
        <v>128933.71</v>
      </c>
      <c r="T127" s="46">
        <v>205925.28</v>
      </c>
      <c r="U127" s="46">
        <v>155560.01</v>
      </c>
      <c r="V127" s="193">
        <v>155560.01</v>
      </c>
      <c r="W127" s="207">
        <v>0</v>
      </c>
      <c r="X127" s="207">
        <v>55606.23</v>
      </c>
      <c r="Y127" s="207">
        <v>28882.66</v>
      </c>
      <c r="Z127" s="263">
        <f aca="true" t="shared" si="61" ref="Z127:Z132">(B90+C90+F90+I90+K90)/1000*$X$140*1.18</f>
        <v>126251.78145652315</v>
      </c>
      <c r="AA127" s="270" t="e">
        <f t="shared" si="59"/>
        <v>#REF!</v>
      </c>
      <c r="AB127" s="387">
        <f t="shared" si="60"/>
        <v>30904.446200000002</v>
      </c>
      <c r="AC127" s="85"/>
      <c r="AD127" s="85"/>
      <c r="AE127" s="85"/>
      <c r="AF127" s="85"/>
    </row>
    <row r="128" spans="1:32" ht="28.5">
      <c r="A128" s="29"/>
      <c r="B128" s="334"/>
      <c r="C128" s="334"/>
      <c r="D128" s="334"/>
      <c r="E128" s="334" t="s">
        <v>472</v>
      </c>
      <c r="F128" s="334"/>
      <c r="G128" s="334"/>
      <c r="H128" s="331"/>
      <c r="I128" s="331"/>
      <c r="J128" s="331"/>
      <c r="K128" s="331"/>
      <c r="L128" s="331"/>
      <c r="M128" s="331"/>
      <c r="N128" s="332"/>
      <c r="O128" s="332"/>
      <c r="P128" s="333"/>
      <c r="Q128" s="30"/>
      <c r="R128" s="44" t="s">
        <v>278</v>
      </c>
      <c r="S128" s="46">
        <v>150152.42</v>
      </c>
      <c r="T128" s="46">
        <v>222400.05</v>
      </c>
      <c r="U128" s="46">
        <v>199172.38</v>
      </c>
      <c r="V128" s="193">
        <v>199172.38</v>
      </c>
      <c r="W128" s="207">
        <v>0</v>
      </c>
      <c r="X128" s="207">
        <v>0</v>
      </c>
      <c r="Y128" s="207">
        <v>25252.73</v>
      </c>
      <c r="Z128" s="263">
        <f t="shared" si="61"/>
        <v>130204.91182423089</v>
      </c>
      <c r="AA128" s="270" t="e">
        <f t="shared" si="59"/>
        <v>#REF!</v>
      </c>
      <c r="AB128" s="387">
        <f t="shared" si="60"/>
        <v>27020.4211</v>
      </c>
      <c r="AC128" s="85"/>
      <c r="AD128" s="85"/>
      <c r="AE128" s="85"/>
      <c r="AF128" s="85"/>
    </row>
    <row r="129" spans="1:32" ht="14.25">
      <c r="A129" s="29"/>
      <c r="B129" s="334"/>
      <c r="C129" s="334"/>
      <c r="D129" s="334"/>
      <c r="E129" s="334"/>
      <c r="F129" s="334"/>
      <c r="G129" s="334"/>
      <c r="H129" s="331"/>
      <c r="I129" s="331"/>
      <c r="J129" s="331"/>
      <c r="K129" s="331"/>
      <c r="L129" s="331"/>
      <c r="M129" s="331"/>
      <c r="N129" s="332"/>
      <c r="O129" s="332"/>
      <c r="P129" s="333"/>
      <c r="Q129" s="30"/>
      <c r="R129" s="44" t="s">
        <v>279</v>
      </c>
      <c r="S129" s="46">
        <f>233.05+165390.84</f>
        <v>165623.88999999998</v>
      </c>
      <c r="T129" s="46">
        <v>187858.5</v>
      </c>
      <c r="U129" s="46">
        <v>227101.67</v>
      </c>
      <c r="V129" s="193">
        <v>227101.67</v>
      </c>
      <c r="W129" s="207">
        <v>0</v>
      </c>
      <c r="X129" s="207">
        <v>0</v>
      </c>
      <c r="Y129" s="207">
        <v>40593.39</v>
      </c>
      <c r="Z129" s="263">
        <f t="shared" si="61"/>
        <v>139786.6710588055</v>
      </c>
      <c r="AA129" s="270" t="e">
        <f t="shared" si="59"/>
        <v>#REF!</v>
      </c>
      <c r="AB129" s="387">
        <f t="shared" si="60"/>
        <v>43434.9273</v>
      </c>
      <c r="AC129" s="85"/>
      <c r="AD129" s="85"/>
      <c r="AE129" s="85"/>
      <c r="AF129" s="85"/>
    </row>
    <row r="130" spans="1:32" ht="14.25">
      <c r="A130" s="29"/>
      <c r="B130" s="334"/>
      <c r="C130" s="334"/>
      <c r="D130" s="334"/>
      <c r="E130" s="334"/>
      <c r="F130" s="334"/>
      <c r="G130" s="334"/>
      <c r="H130" s="331"/>
      <c r="I130" s="331"/>
      <c r="J130" s="331"/>
      <c r="K130" s="331"/>
      <c r="L130" s="331"/>
      <c r="M130" s="331"/>
      <c r="N130" s="332"/>
      <c r="O130" s="332"/>
      <c r="P130" s="333"/>
      <c r="Q130" s="30"/>
      <c r="R130" s="44" t="s">
        <v>280</v>
      </c>
      <c r="S130" s="46">
        <f>695.65+246895.5</f>
        <v>247591.15</v>
      </c>
      <c r="T130" s="46">
        <v>319457.34</v>
      </c>
      <c r="U130" s="46">
        <v>110937.36</v>
      </c>
      <c r="V130" s="193">
        <v>110937.36</v>
      </c>
      <c r="W130" s="207">
        <v>0</v>
      </c>
      <c r="X130" s="207">
        <v>0</v>
      </c>
      <c r="Y130" s="207">
        <v>106457.34</v>
      </c>
      <c r="Z130" s="263">
        <f t="shared" si="61"/>
        <v>187371.59885942106</v>
      </c>
      <c r="AA130" s="270" t="e">
        <f t="shared" si="59"/>
        <v>#REF!</v>
      </c>
      <c r="AB130" s="387">
        <f t="shared" si="60"/>
        <v>113909.3538</v>
      </c>
      <c r="AC130" s="85"/>
      <c r="AD130" s="85"/>
      <c r="AE130" s="85"/>
      <c r="AF130" s="85"/>
    </row>
    <row r="131" spans="1:32" ht="14.25">
      <c r="A131" s="29"/>
      <c r="B131" s="334"/>
      <c r="C131" s="334"/>
      <c r="D131" s="334"/>
      <c r="E131" s="334"/>
      <c r="F131" s="334"/>
      <c r="G131" s="334"/>
      <c r="H131" s="331"/>
      <c r="I131" s="331"/>
      <c r="J131" s="331"/>
      <c r="K131" s="331"/>
      <c r="L131" s="331"/>
      <c r="M131" s="331"/>
      <c r="N131" s="332"/>
      <c r="O131" s="332"/>
      <c r="P131" s="333"/>
      <c r="Q131" s="30"/>
      <c r="R131" s="44" t="s">
        <v>281</v>
      </c>
      <c r="S131" s="46">
        <v>271400.32</v>
      </c>
      <c r="T131" s="46">
        <v>246519.84</v>
      </c>
      <c r="U131" s="46">
        <v>333926.2</v>
      </c>
      <c r="V131" s="193">
        <v>333926.2</v>
      </c>
      <c r="W131" s="207">
        <v>36680.58</v>
      </c>
      <c r="X131" s="207">
        <v>111923.41</v>
      </c>
      <c r="Y131" s="207">
        <v>253496.77</v>
      </c>
      <c r="Z131" s="263">
        <f t="shared" si="61"/>
        <v>201949.37883703728</v>
      </c>
      <c r="AA131" s="270" t="e">
        <f t="shared" si="59"/>
        <v>#REF!</v>
      </c>
      <c r="AB131" s="387">
        <f t="shared" si="60"/>
        <v>271241.5439</v>
      </c>
      <c r="AC131" s="85"/>
      <c r="AD131" s="85"/>
      <c r="AE131" s="85"/>
      <c r="AF131" s="85"/>
    </row>
    <row r="132" spans="1:32" ht="14.25">
      <c r="A132" s="29"/>
      <c r="B132" s="334"/>
      <c r="C132" s="334"/>
      <c r="D132" s="334"/>
      <c r="E132" s="334"/>
      <c r="F132" s="334"/>
      <c r="G132" s="334"/>
      <c r="H132" s="331"/>
      <c r="I132" s="331"/>
      <c r="J132" s="331"/>
      <c r="K132" s="331"/>
      <c r="L132" s="331"/>
      <c r="M132" s="331"/>
      <c r="N132" s="332"/>
      <c r="O132" s="336"/>
      <c r="P132" s="337"/>
      <c r="R132" s="44" t="s">
        <v>282</v>
      </c>
      <c r="S132" s="46">
        <v>182629</v>
      </c>
      <c r="T132" s="46">
        <v>293279.85</v>
      </c>
      <c r="U132" s="46">
        <v>29738.86</v>
      </c>
      <c r="V132" s="193">
        <v>29738.86</v>
      </c>
      <c r="W132" s="207">
        <v>55303.69</v>
      </c>
      <c r="X132" s="207">
        <v>157169.34</v>
      </c>
      <c r="Y132" s="207">
        <v>246223.64</v>
      </c>
      <c r="Z132" s="263">
        <f t="shared" si="61"/>
        <v>214366.41679265507</v>
      </c>
      <c r="AA132" s="270" t="e">
        <f t="shared" si="59"/>
        <v>#REF!</v>
      </c>
      <c r="AB132" s="387">
        <f t="shared" si="60"/>
        <v>263459.29480000003</v>
      </c>
      <c r="AC132" s="85"/>
      <c r="AD132" s="85"/>
      <c r="AE132" s="85"/>
      <c r="AF132" s="85"/>
    </row>
    <row r="133" spans="1:32" ht="28.5">
      <c r="A133" s="29"/>
      <c r="B133" s="338"/>
      <c r="C133" s="338"/>
      <c r="D133" s="338"/>
      <c r="E133" s="338"/>
      <c r="F133" s="338"/>
      <c r="G133" s="338"/>
      <c r="H133" s="339"/>
      <c r="I133" s="339"/>
      <c r="J133" s="339"/>
      <c r="K133" s="339"/>
      <c r="L133" s="339"/>
      <c r="M133" s="339"/>
      <c r="N133" s="336"/>
      <c r="O133" s="336"/>
      <c r="P133" s="333"/>
      <c r="R133" s="45" t="s">
        <v>340</v>
      </c>
      <c r="S133" s="46">
        <v>81420</v>
      </c>
      <c r="T133" s="47"/>
      <c r="U133" s="46">
        <v>97450.05</v>
      </c>
      <c r="V133" s="193">
        <v>97450.05</v>
      </c>
      <c r="W133" s="207">
        <v>87898.26</v>
      </c>
      <c r="X133" s="208"/>
      <c r="Y133" s="208"/>
      <c r="Z133" s="264"/>
      <c r="AA133" s="271"/>
      <c r="AB133" s="209"/>
      <c r="AC133" s="84"/>
      <c r="AD133" s="29"/>
      <c r="AE133" s="29"/>
      <c r="AF133" s="29"/>
    </row>
    <row r="134" spans="1:32" ht="14.25">
      <c r="A134" s="29"/>
      <c r="B134" s="333"/>
      <c r="C134" s="333"/>
      <c r="D134" s="333"/>
      <c r="E134" s="333"/>
      <c r="F134" s="333"/>
      <c r="G134" s="333"/>
      <c r="H134" s="333"/>
      <c r="I134" s="333"/>
      <c r="J134" s="333"/>
      <c r="K134" s="333"/>
      <c r="L134" s="333"/>
      <c r="M134" s="333"/>
      <c r="N134" s="333"/>
      <c r="O134" s="333"/>
      <c r="P134" s="333"/>
      <c r="R134" s="44" t="s">
        <v>262</v>
      </c>
      <c r="S134" s="385">
        <f>SUM(S121:S132)-S133</f>
        <v>2105975.37</v>
      </c>
      <c r="T134" s="385">
        <f>SUM(T121:T132)+S133</f>
        <v>3082788.05</v>
      </c>
      <c r="U134" s="47"/>
      <c r="V134" s="194"/>
      <c r="W134" s="208"/>
      <c r="X134" s="386">
        <f>SUM(X121:X132)-X133</f>
        <v>1046969.73</v>
      </c>
      <c r="Y134" s="386">
        <f>SUM(Y121:Y132)-Y133</f>
        <v>1156270.92</v>
      </c>
      <c r="Z134" s="274">
        <f>SUM(Z121:Z132)-Z133</f>
        <v>2157407.763214305</v>
      </c>
      <c r="AA134" s="294" t="e">
        <f>SUM(AA121:AA132)-AA133</f>
        <v>#REF!</v>
      </c>
      <c r="AB134" s="389">
        <f>SUM(AB121:AB132)-AB133</f>
        <v>1237209.8844</v>
      </c>
      <c r="AC134" s="389"/>
      <c r="AD134" s="389"/>
      <c r="AE134" s="389"/>
      <c r="AF134" s="389"/>
    </row>
    <row r="135" spans="1:32" ht="28.5">
      <c r="A135" s="29"/>
      <c r="B135" s="333"/>
      <c r="C135" s="333"/>
      <c r="D135" s="333"/>
      <c r="E135" s="333"/>
      <c r="F135" s="333"/>
      <c r="G135" s="333"/>
      <c r="H135" s="333"/>
      <c r="I135" s="333"/>
      <c r="J135" s="333"/>
      <c r="K135" s="333"/>
      <c r="L135" s="333"/>
      <c r="M135" s="333"/>
      <c r="N135" s="333"/>
      <c r="O135" s="333"/>
      <c r="P135" s="333"/>
      <c r="R135" s="48" t="s">
        <v>341</v>
      </c>
      <c r="S135" s="49"/>
      <c r="T135" s="49"/>
      <c r="U135" s="385">
        <f>(SUM(U122:U133)-U134)/1.18</f>
        <v>1937164.2627118642</v>
      </c>
      <c r="V135" s="385">
        <f>(SUM(V122:V133)-V134)/1.18</f>
        <v>1937164.2627118642</v>
      </c>
      <c r="W135" s="386">
        <f>SUM(W122:W133)-W134</f>
        <v>641849.77</v>
      </c>
      <c r="X135" s="210">
        <f>X134/(B77+C77+F77)</f>
        <v>2.2351709731067215</v>
      </c>
      <c r="Y135" s="210">
        <f>Y134/('нов ИСХ'!O19+'нов ИСХ'!O22+'нов ИСХ'!O33+'нов ИСХ'!O35+'нов ИСХ'!O46+'нов ИСХ'!O49)</f>
        <v>1.975138676137727</v>
      </c>
      <c r="Z135" s="265">
        <f>Z134/(O96+Q96+T96)</f>
        <v>2.4684298203060138</v>
      </c>
      <c r="AA135" s="314" t="e">
        <f>Z135*(1+INDEX!#REF!/100)</f>
        <v>#REF!</v>
      </c>
      <c r="AB135" s="211" t="e">
        <f>AB134/('нов ИСХ'!#REF!+'нов ИСХ'!#REF!+'нов ИСХ'!#REF!+'нов ИСХ'!#REF!+'нов ИСХ'!#REF!+'нов ИСХ'!#REF!)</f>
        <v>#REF!</v>
      </c>
      <c r="AC135" s="39" t="e">
        <f>AB135*(INDEX!#REF!/100+1)</f>
        <v>#REF!</v>
      </c>
      <c r="AD135" s="39" t="e">
        <f>AC135*(INDEX!#REF!/100+1)</f>
        <v>#REF!</v>
      </c>
      <c r="AE135" s="39" t="e">
        <f>AD135*(INDEX!#REF!/100+1)</f>
        <v>#REF!</v>
      </c>
      <c r="AF135" s="39" t="e">
        <f>AE135*(INDEX!#REF!/100+1)</f>
        <v>#REF!</v>
      </c>
    </row>
    <row r="136" spans="1:32" ht="14.25">
      <c r="A136" s="29"/>
      <c r="B136" s="333"/>
      <c r="C136" s="333"/>
      <c r="D136" s="333"/>
      <c r="E136" s="333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U136" s="49">
        <f>U135/(B24+C24+F24)</f>
        <v>1.808953424728099</v>
      </c>
      <c r="V136" s="86">
        <f>V135/(B24+C24+F24)</f>
        <v>1.808953424728099</v>
      </c>
      <c r="W136" s="210">
        <f>W135/(O42+Q42+T42)</f>
        <v>2.566967829404615</v>
      </c>
      <c r="X136" s="305">
        <f aca="true" t="shared" si="62" ref="W136:AB137">X134/1.18</f>
        <v>887262.4830508475</v>
      </c>
      <c r="Y136" s="305">
        <f t="shared" si="62"/>
        <v>979890.6101694915</v>
      </c>
      <c r="Z136" s="305">
        <f t="shared" si="62"/>
        <v>1828311.6637409367</v>
      </c>
      <c r="AA136" s="306" t="e">
        <f t="shared" si="62"/>
        <v>#REF!</v>
      </c>
      <c r="AB136" s="497">
        <f t="shared" si="62"/>
        <v>1048482.9528813561</v>
      </c>
      <c r="AC136" s="495" t="e">
        <f>('нов ИСХ'!#REF!+'нов ИСХ'!#REF!+'нов ИСХ'!#REF!+'нов ИСХ'!#REF!+'нов ИСХ'!#REF!+'нов ИСХ'!#REF!)*AC135/1.18</f>
        <v>#REF!</v>
      </c>
      <c r="AD136" s="496" t="e">
        <f>('нов ИСХ'!#REF!+'нов ИСХ'!#REF!+'нов ИСХ'!#REF!+'нов ИСХ'!#REF!+'нов ИСХ'!#REF!+'нов ИСХ'!#REF!)*AD135/1.18</f>
        <v>#REF!</v>
      </c>
      <c r="AE136" s="496" t="e">
        <f>('нов ИСХ'!#REF!+'нов ИСХ'!#REF!+'нов ИСХ'!#REF!+'нов ИСХ'!#REF!+'нов ИСХ'!#REF!+'нов ИСХ'!#REF!)*AE135/1.18</f>
        <v>#REF!</v>
      </c>
      <c r="AF136" s="496" t="e">
        <f>('нов ИСХ'!#REF!+'нов ИСХ'!#REF!+'нов ИСХ'!#REF!+'нов ИСХ'!#REF!+'нов ИСХ'!#REF!+'нов ИСХ'!#REF!)*AF135/1.18</f>
        <v>#REF!</v>
      </c>
    </row>
    <row r="137" spans="2:32" ht="14.25"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R137" s="195"/>
      <c r="S137" s="195"/>
      <c r="T137" s="195"/>
      <c r="V137" s="304" t="s">
        <v>249</v>
      </c>
      <c r="W137" s="305">
        <f t="shared" si="62"/>
        <v>543940.4830508475</v>
      </c>
      <c r="X137" s="196"/>
      <c r="Y137" s="196"/>
      <c r="Z137" s="196"/>
      <c r="AA137" s="272"/>
      <c r="AB137" s="494" t="s">
        <v>249</v>
      </c>
      <c r="AC137" s="498"/>
      <c r="AD137" s="498"/>
      <c r="AE137" s="498"/>
      <c r="AF137" s="498"/>
    </row>
    <row r="138" spans="2:25" ht="14.25"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R138" s="267" t="s">
        <v>456</v>
      </c>
      <c r="S138" s="267"/>
      <c r="T138" s="267"/>
      <c r="U138" s="195"/>
      <c r="V138" s="196"/>
      <c r="W138" s="196"/>
      <c r="X138" s="267" t="s">
        <v>455</v>
      </c>
      <c r="Y138" s="267"/>
    </row>
    <row r="139" spans="2:25" ht="14.25">
      <c r="B139" s="286"/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R139" s="267">
        <v>2017</v>
      </c>
      <c r="S139" s="267" t="s">
        <v>449</v>
      </c>
      <c r="T139" s="267" t="s">
        <v>450</v>
      </c>
      <c r="U139" s="267"/>
      <c r="V139" s="267" t="s">
        <v>453</v>
      </c>
      <c r="W139" s="267" t="s">
        <v>454</v>
      </c>
      <c r="X139" s="267">
        <v>0.4097</v>
      </c>
      <c r="Y139" s="267"/>
    </row>
    <row r="140" spans="2:25" ht="14.25"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R140" s="273" t="s">
        <v>249</v>
      </c>
      <c r="S140" s="267" t="s">
        <v>451</v>
      </c>
      <c r="T140" s="267" t="s">
        <v>452</v>
      </c>
      <c r="U140" s="267">
        <v>0</v>
      </c>
      <c r="V140" s="267">
        <v>0.874</v>
      </c>
      <c r="W140" s="267">
        <v>0.4643</v>
      </c>
      <c r="X140" s="268">
        <v>2068.34</v>
      </c>
      <c r="Y140" s="268"/>
    </row>
    <row r="141" spans="2:25" ht="14.25"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S141" s="267" t="s">
        <v>463</v>
      </c>
      <c r="T141" s="267"/>
      <c r="U141" s="267">
        <v>0</v>
      </c>
      <c r="V141" s="268">
        <v>2091.89</v>
      </c>
      <c r="W141" s="268">
        <v>2112.67</v>
      </c>
      <c r="X141" s="267">
        <v>847.4</v>
      </c>
      <c r="Y141" s="267"/>
    </row>
    <row r="142" spans="2:23" ht="14.25"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U142" s="267"/>
      <c r="V142" s="267">
        <v>1828.31</v>
      </c>
      <c r="W142" s="267">
        <v>980.91</v>
      </c>
    </row>
    <row r="143" spans="2:12" ht="14.25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</row>
    <row r="144" spans="2:12" ht="14.25"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</row>
    <row r="145" spans="2:12" ht="14.25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</row>
    <row r="146" spans="2:12" ht="14.25">
      <c r="B146" s="287"/>
      <c r="C146" s="287"/>
      <c r="D146" s="287"/>
      <c r="E146" s="287"/>
      <c r="F146" s="287"/>
      <c r="G146" s="286"/>
      <c r="H146" s="286"/>
      <c r="I146" s="286"/>
      <c r="J146" s="286"/>
      <c r="K146" s="286"/>
      <c r="L146" s="286"/>
    </row>
    <row r="147" spans="2:12" ht="14.25"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</row>
    <row r="148" spans="2:12" ht="14.25"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</row>
    <row r="149" spans="2:12" ht="14.25"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</row>
    <row r="150" spans="2:12" ht="14.25"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</row>
    <row r="151" spans="2:12" ht="14.25"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</row>
    <row r="152" spans="2:12" ht="14.25">
      <c r="B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</row>
    <row r="153" spans="2:12" ht="14.25"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</row>
    <row r="154" spans="2:12" ht="14.25"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</row>
    <row r="155" spans="2:12" ht="14.25">
      <c r="B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</row>
    <row r="156" spans="2:12" ht="14.25"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</row>
    <row r="157" spans="2:12" ht="14.25"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</row>
    <row r="158" spans="2:12" ht="14.25"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</row>
    <row r="159" spans="2:12" ht="14.25"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</row>
    <row r="160" spans="2:12" ht="14.25"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</row>
    <row r="161" spans="2:12" ht="14.25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</row>
    <row r="162" spans="2:12" ht="14.25"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</row>
  </sheetData>
  <sheetProtection/>
  <mergeCells count="12">
    <mergeCell ref="S121:S125"/>
    <mergeCell ref="B45:F45"/>
    <mergeCell ref="B81:F81"/>
    <mergeCell ref="B99:F99"/>
    <mergeCell ref="L98:O98"/>
    <mergeCell ref="B62:F62"/>
    <mergeCell ref="L80:O80"/>
    <mergeCell ref="L8:P8"/>
    <mergeCell ref="L26:O26"/>
    <mergeCell ref="L44:O44"/>
    <mergeCell ref="B27:F27"/>
    <mergeCell ref="B9:F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7"/>
  <sheetViews>
    <sheetView zoomScale="80" zoomScaleNormal="80" zoomScalePageLayoutView="0" workbookViewId="0" topLeftCell="A25">
      <selection activeCell="O150" sqref="O150"/>
    </sheetView>
  </sheetViews>
  <sheetFormatPr defaultColWidth="8.7109375" defaultRowHeight="15"/>
  <cols>
    <col min="1" max="1" width="4.7109375" style="350" customWidth="1"/>
    <col min="2" max="2" width="6.57421875" style="350" customWidth="1"/>
    <col min="3" max="3" width="9.28125" style="350" customWidth="1"/>
    <col min="4" max="4" width="9.57421875" style="350" customWidth="1"/>
    <col min="5" max="5" width="9.7109375" style="350" customWidth="1"/>
    <col min="6" max="7" width="8.7109375" style="350" customWidth="1"/>
    <col min="8" max="8" width="8.00390625" style="350" customWidth="1"/>
    <col min="9" max="9" width="8.28125" style="350" customWidth="1"/>
    <col min="10" max="10" width="8.421875" style="350" customWidth="1"/>
    <col min="11" max="13" width="8.7109375" style="350" customWidth="1"/>
    <col min="14" max="14" width="9.7109375" style="350" customWidth="1"/>
    <col min="15" max="15" width="11.00390625" style="350" customWidth="1"/>
    <col min="16" max="16" width="1.1484375" style="350" customWidth="1"/>
    <col min="17" max="17" width="11.00390625" style="350" bestFit="1" customWidth="1"/>
    <col min="18" max="16384" width="8.7109375" style="350" customWidth="1"/>
  </cols>
  <sheetData>
    <row r="1" spans="1:16" ht="15">
      <c r="A1" s="351" t="s">
        <v>528</v>
      </c>
      <c r="C1" s="354">
        <v>19.559</v>
      </c>
      <c r="D1" s="354">
        <v>17.17</v>
      </c>
      <c r="E1" s="354">
        <v>16.198</v>
      </c>
      <c r="F1" s="354">
        <v>13.133</v>
      </c>
      <c r="G1" s="354">
        <v>8.661</v>
      </c>
      <c r="H1" s="354">
        <v>8.545</v>
      </c>
      <c r="I1" s="354">
        <v>9.767</v>
      </c>
      <c r="J1" s="354">
        <v>10.255</v>
      </c>
      <c r="K1" s="354">
        <v>11.171</v>
      </c>
      <c r="L1" s="354">
        <v>14.727</v>
      </c>
      <c r="M1" s="354">
        <v>17.586</v>
      </c>
      <c r="N1" s="354">
        <v>19.761</v>
      </c>
      <c r="O1" s="351">
        <v>2017</v>
      </c>
      <c r="P1" s="574"/>
    </row>
    <row r="2" spans="1:16" ht="15">
      <c r="A2" s="351"/>
      <c r="C2" s="354">
        <v>20.9275</v>
      </c>
      <c r="D2" s="354">
        <v>18.3713</v>
      </c>
      <c r="E2" s="354">
        <v>17.3326</v>
      </c>
      <c r="F2" s="354">
        <v>14.0529</v>
      </c>
      <c r="G2" s="354">
        <v>9.2675</v>
      </c>
      <c r="H2" s="354">
        <v>9.143</v>
      </c>
      <c r="I2" s="354">
        <v>10.4508</v>
      </c>
      <c r="J2" s="354">
        <v>10.9729</v>
      </c>
      <c r="K2" s="354">
        <v>11.9522</v>
      </c>
      <c r="L2" s="354">
        <v>15.7578</v>
      </c>
      <c r="M2" s="354">
        <v>18.8169</v>
      </c>
      <c r="N2" s="354">
        <v>21.1436</v>
      </c>
      <c r="O2" s="351">
        <v>2018</v>
      </c>
      <c r="P2" s="574"/>
    </row>
    <row r="3" spans="1:16" ht="15">
      <c r="A3" s="351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1"/>
      <c r="P3" s="574"/>
    </row>
    <row r="4" spans="1:16" ht="15">
      <c r="A4" s="351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1"/>
      <c r="P4" s="574"/>
    </row>
    <row r="5" spans="1:16" ht="15">
      <c r="A5" s="351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1"/>
      <c r="P5" s="574"/>
    </row>
    <row r="6" spans="1:16" ht="15">
      <c r="A6" s="351" t="s">
        <v>529</v>
      </c>
      <c r="C6" s="382">
        <v>18.09</v>
      </c>
      <c r="D6" s="382">
        <v>16.81</v>
      </c>
      <c r="E6" s="382">
        <v>15.02</v>
      </c>
      <c r="F6" s="382">
        <v>14.17</v>
      </c>
      <c r="G6" s="382">
        <v>12.26</v>
      </c>
      <c r="H6" s="382">
        <v>11.67</v>
      </c>
      <c r="I6" s="382">
        <v>8.81</v>
      </c>
      <c r="J6" s="382">
        <v>10.51</v>
      </c>
      <c r="K6" s="382">
        <v>11.94</v>
      </c>
      <c r="L6" s="382">
        <v>13.82</v>
      </c>
      <c r="M6" s="382">
        <v>14.55</v>
      </c>
      <c r="N6" s="382">
        <v>14.91</v>
      </c>
      <c r="O6" s="351">
        <v>2017</v>
      </c>
      <c r="P6" s="574"/>
    </row>
    <row r="7" spans="1:16" ht="15">
      <c r="A7" s="351" t="s">
        <v>477</v>
      </c>
      <c r="C7" s="382">
        <v>0.24</v>
      </c>
      <c r="D7" s="382">
        <v>0.26</v>
      </c>
      <c r="E7" s="382">
        <v>0.25</v>
      </c>
      <c r="F7" s="382">
        <v>0.51</v>
      </c>
      <c r="G7" s="382">
        <v>0.51</v>
      </c>
      <c r="H7" s="382">
        <v>0.33</v>
      </c>
      <c r="I7" s="382">
        <v>0.07</v>
      </c>
      <c r="J7" s="382">
        <v>0.08</v>
      </c>
      <c r="K7" s="382">
        <v>0.31</v>
      </c>
      <c r="L7" s="382">
        <v>0.32</v>
      </c>
      <c r="M7" s="382">
        <v>0.04</v>
      </c>
      <c r="N7" s="382">
        <v>0.03</v>
      </c>
      <c r="O7" s="351"/>
      <c r="P7" s="574"/>
    </row>
    <row r="8" spans="1:16" ht="15">
      <c r="A8" s="383" t="s">
        <v>532</v>
      </c>
      <c r="C8" s="382">
        <v>0.2</v>
      </c>
      <c r="D8" s="382">
        <v>0.23</v>
      </c>
      <c r="E8" s="382">
        <v>0.17</v>
      </c>
      <c r="F8" s="382">
        <v>0.17</v>
      </c>
      <c r="G8" s="382">
        <v>0.15</v>
      </c>
      <c r="H8" s="382">
        <v>0.12</v>
      </c>
      <c r="I8" s="382">
        <v>0.12</v>
      </c>
      <c r="J8" s="382">
        <v>0.11</v>
      </c>
      <c r="K8" s="382">
        <v>0.13</v>
      </c>
      <c r="L8" s="382">
        <v>0.17</v>
      </c>
      <c r="M8" s="382">
        <v>0.22</v>
      </c>
      <c r="N8" s="382">
        <v>0.15</v>
      </c>
      <c r="O8" s="351"/>
      <c r="P8" s="574"/>
    </row>
    <row r="9" spans="1:16" ht="15">
      <c r="A9" s="384" t="s">
        <v>538</v>
      </c>
      <c r="C9" s="382">
        <v>0.14</v>
      </c>
      <c r="D9" s="382">
        <v>0.16</v>
      </c>
      <c r="E9" s="382">
        <v>0.11</v>
      </c>
      <c r="F9" s="382">
        <v>0.13</v>
      </c>
      <c r="G9" s="382">
        <v>0.1</v>
      </c>
      <c r="H9" s="382">
        <v>0.1</v>
      </c>
      <c r="I9" s="382">
        <v>0.1</v>
      </c>
      <c r="J9" s="382">
        <v>0.08</v>
      </c>
      <c r="K9" s="382">
        <v>0.09</v>
      </c>
      <c r="L9" s="382">
        <v>0.1</v>
      </c>
      <c r="M9" s="382">
        <v>0.14</v>
      </c>
      <c r="N9" s="382">
        <v>0.09</v>
      </c>
      <c r="O9" s="351"/>
      <c r="P9" s="574"/>
    </row>
    <row r="10" spans="1:16" ht="15">
      <c r="A10" s="383" t="s">
        <v>530</v>
      </c>
      <c r="C10" s="382">
        <f>C23/C17/24/1000</f>
        <v>13.446202956989248</v>
      </c>
      <c r="D10" s="382">
        <f aca="true" t="shared" si="0" ref="D10:N10">D23/D17/24/1000</f>
        <v>14.660226190476191</v>
      </c>
      <c r="E10" s="382">
        <f t="shared" si="0"/>
        <v>14.053495967741934</v>
      </c>
      <c r="F10" s="382">
        <f t="shared" si="0"/>
        <v>10.407916666666667</v>
      </c>
      <c r="G10" s="382">
        <f t="shared" si="0"/>
        <v>7.21900940860215</v>
      </c>
      <c r="H10" s="382">
        <f t="shared" si="0"/>
        <v>6.410823611111111</v>
      </c>
      <c r="I10" s="382">
        <f t="shared" si="0"/>
        <v>5.832135752688172</v>
      </c>
      <c r="J10" s="382">
        <f t="shared" si="0"/>
        <v>6.178837365591398</v>
      </c>
      <c r="K10" s="382">
        <f t="shared" si="0"/>
        <v>6.686669444444445</v>
      </c>
      <c r="L10" s="382">
        <f t="shared" si="0"/>
        <v>10.533251344086022</v>
      </c>
      <c r="M10" s="382">
        <f t="shared" si="0"/>
        <v>12.385522222222223</v>
      </c>
      <c r="N10" s="382">
        <f t="shared" si="0"/>
        <v>14.583620967741934</v>
      </c>
      <c r="O10" s="351"/>
      <c r="P10" s="574"/>
    </row>
    <row r="11" spans="1:16" ht="15">
      <c r="A11" s="383" t="s">
        <v>533</v>
      </c>
      <c r="C11" s="382">
        <f>C6/C10</f>
        <v>1.3453612189154809</v>
      </c>
      <c r="D11" s="382">
        <f aca="true" t="shared" si="1" ref="D11:N11">D6/D10</f>
        <v>1.1466398800122455</v>
      </c>
      <c r="E11" s="382">
        <f t="shared" si="1"/>
        <v>1.0687732102016863</v>
      </c>
      <c r="F11" s="382">
        <f t="shared" si="1"/>
        <v>1.361463629448737</v>
      </c>
      <c r="G11" s="382">
        <f t="shared" si="1"/>
        <v>1.6982939494982539</v>
      </c>
      <c r="H11" s="382">
        <f t="shared" si="1"/>
        <v>1.8203589285741368</v>
      </c>
      <c r="I11" s="382">
        <f t="shared" si="1"/>
        <v>1.5105958389153165</v>
      </c>
      <c r="J11" s="382">
        <f t="shared" si="1"/>
        <v>1.7009672496848527</v>
      </c>
      <c r="K11" s="382">
        <f t="shared" si="1"/>
        <v>1.7856423289953767</v>
      </c>
      <c r="L11" s="382">
        <f t="shared" si="1"/>
        <v>1.3120355290638108</v>
      </c>
      <c r="M11" s="382">
        <f t="shared" si="1"/>
        <v>1.174758701243477</v>
      </c>
      <c r="N11" s="382">
        <f t="shared" si="1"/>
        <v>1.022379835088967</v>
      </c>
      <c r="O11" s="351"/>
      <c r="P11" s="574"/>
    </row>
    <row r="12" spans="1:16" ht="15">
      <c r="A12" s="351" t="s">
        <v>531</v>
      </c>
      <c r="C12" s="382">
        <f>ROUND(C8*C11,3)</f>
        <v>0.269</v>
      </c>
      <c r="D12" s="382">
        <f aca="true" t="shared" si="2" ref="D12:N12">ROUND(D8*D11,3)</f>
        <v>0.264</v>
      </c>
      <c r="E12" s="382">
        <f t="shared" si="2"/>
        <v>0.182</v>
      </c>
      <c r="F12" s="382">
        <f t="shared" si="2"/>
        <v>0.231</v>
      </c>
      <c r="G12" s="382">
        <f t="shared" si="2"/>
        <v>0.255</v>
      </c>
      <c r="H12" s="382">
        <f t="shared" si="2"/>
        <v>0.218</v>
      </c>
      <c r="I12" s="382">
        <f t="shared" si="2"/>
        <v>0.181</v>
      </c>
      <c r="J12" s="382">
        <f t="shared" si="2"/>
        <v>0.187</v>
      </c>
      <c r="K12" s="382">
        <f t="shared" si="2"/>
        <v>0.232</v>
      </c>
      <c r="L12" s="382">
        <f t="shared" si="2"/>
        <v>0.223</v>
      </c>
      <c r="M12" s="382">
        <f t="shared" si="2"/>
        <v>0.258</v>
      </c>
      <c r="N12" s="382">
        <f t="shared" si="2"/>
        <v>0.153</v>
      </c>
      <c r="O12" s="351"/>
      <c r="P12" s="574"/>
    </row>
    <row r="13" spans="1:16" ht="15">
      <c r="A13" s="351"/>
      <c r="C13" s="382">
        <f>ROUND(C9*C11,3)</f>
        <v>0.188</v>
      </c>
      <c r="D13" s="382">
        <f aca="true" t="shared" si="3" ref="D13:N13">ROUND(D9*D11,3)</f>
        <v>0.183</v>
      </c>
      <c r="E13" s="382">
        <f t="shared" si="3"/>
        <v>0.118</v>
      </c>
      <c r="F13" s="382">
        <f t="shared" si="3"/>
        <v>0.177</v>
      </c>
      <c r="G13" s="382">
        <f t="shared" si="3"/>
        <v>0.17</v>
      </c>
      <c r="H13" s="382">
        <f t="shared" si="3"/>
        <v>0.182</v>
      </c>
      <c r="I13" s="382">
        <f t="shared" si="3"/>
        <v>0.151</v>
      </c>
      <c r="J13" s="382">
        <f t="shared" si="3"/>
        <v>0.136</v>
      </c>
      <c r="K13" s="382">
        <f t="shared" si="3"/>
        <v>0.161</v>
      </c>
      <c r="L13" s="382">
        <f t="shared" si="3"/>
        <v>0.131</v>
      </c>
      <c r="M13" s="382">
        <f t="shared" si="3"/>
        <v>0.164</v>
      </c>
      <c r="N13" s="382">
        <f t="shared" si="3"/>
        <v>0.092</v>
      </c>
      <c r="O13" s="351"/>
      <c r="P13" s="574"/>
    </row>
    <row r="14" spans="6:16" ht="15">
      <c r="F14" s="352">
        <v>2018</v>
      </c>
      <c r="G14" s="351" t="s">
        <v>473</v>
      </c>
      <c r="H14" s="351"/>
      <c r="P14" s="574"/>
    </row>
    <row r="15" spans="6:16" ht="15">
      <c r="F15" s="352"/>
      <c r="G15" s="351"/>
      <c r="H15" s="351"/>
      <c r="O15" s="350">
        <v>321644</v>
      </c>
      <c r="P15" s="574"/>
    </row>
    <row r="16" spans="3:16" ht="15">
      <c r="C16" s="351" t="s">
        <v>270</v>
      </c>
      <c r="D16" s="351" t="s">
        <v>272</v>
      </c>
      <c r="E16" s="351" t="s">
        <v>273</v>
      </c>
      <c r="F16" s="351" t="s">
        <v>274</v>
      </c>
      <c r="G16" s="351" t="s">
        <v>275</v>
      </c>
      <c r="H16" s="351" t="s">
        <v>276</v>
      </c>
      <c r="I16" s="351" t="s">
        <v>277</v>
      </c>
      <c r="J16" s="351" t="s">
        <v>278</v>
      </c>
      <c r="K16" s="351" t="s">
        <v>279</v>
      </c>
      <c r="L16" s="351" t="s">
        <v>280</v>
      </c>
      <c r="M16" s="351" t="s">
        <v>281</v>
      </c>
      <c r="N16" s="351" t="s">
        <v>282</v>
      </c>
      <c r="P16" s="574"/>
    </row>
    <row r="17" spans="3:16" ht="15">
      <c r="C17" s="351">
        <v>31</v>
      </c>
      <c r="D17" s="351">
        <v>28</v>
      </c>
      <c r="E17" s="351">
        <v>31</v>
      </c>
      <c r="F17" s="351">
        <v>30</v>
      </c>
      <c r="G17" s="351">
        <v>31</v>
      </c>
      <c r="H17" s="351">
        <v>30</v>
      </c>
      <c r="I17" s="351">
        <v>31</v>
      </c>
      <c r="J17" s="351">
        <v>31</v>
      </c>
      <c r="K17" s="351">
        <v>30</v>
      </c>
      <c r="L17" s="351">
        <v>31</v>
      </c>
      <c r="M17" s="351">
        <v>30</v>
      </c>
      <c r="N17" s="351">
        <v>31</v>
      </c>
      <c r="P17" s="574"/>
    </row>
    <row r="18" spans="1:16" s="539" customFormat="1" ht="15">
      <c r="A18" s="538" t="s">
        <v>526</v>
      </c>
      <c r="B18" s="538"/>
      <c r="C18" s="478">
        <v>10061179</v>
      </c>
      <c r="D18" s="478">
        <v>9901983</v>
      </c>
      <c r="E18" s="478">
        <v>10508390</v>
      </c>
      <c r="F18" s="478">
        <v>7517713</v>
      </c>
      <c r="G18" s="478">
        <v>5369831</v>
      </c>
      <c r="H18" s="478">
        <v>4790319</v>
      </c>
      <c r="I18" s="478">
        <v>4346213</v>
      </c>
      <c r="J18" s="478">
        <v>4580558</v>
      </c>
      <c r="K18" s="478">
        <v>4808369</v>
      </c>
      <c r="L18" s="478">
        <v>7876569</v>
      </c>
      <c r="M18" s="478">
        <v>8968347</v>
      </c>
      <c r="N18" s="478">
        <v>10909371</v>
      </c>
      <c r="O18" s="541">
        <f>SUM(C18:N18)</f>
        <v>89638842</v>
      </c>
      <c r="P18" s="574"/>
    </row>
    <row r="19" spans="1:16" s="539" customFormat="1" ht="15">
      <c r="A19" s="538" t="s">
        <v>474</v>
      </c>
      <c r="B19" s="538"/>
      <c r="C19" s="356">
        <v>35492</v>
      </c>
      <c r="D19" s="356">
        <v>29996</v>
      </c>
      <c r="E19" s="356">
        <v>29198</v>
      </c>
      <c r="F19" s="356">
        <v>10123</v>
      </c>
      <c r="G19" s="356">
        <v>-16412</v>
      </c>
      <c r="H19" s="356">
        <v>159886</v>
      </c>
      <c r="I19" s="356">
        <v>3058</v>
      </c>
      <c r="J19" s="356">
        <v>-19252</v>
      </c>
      <c r="K19" s="356">
        <v>-10345</v>
      </c>
      <c r="L19" s="356">
        <v>27895</v>
      </c>
      <c r="M19" s="356">
        <v>34322</v>
      </c>
      <c r="N19" s="356">
        <v>37683</v>
      </c>
      <c r="O19" s="542">
        <f aca="true" t="shared" si="4" ref="O19:O55">SUM(C19:N19)</f>
        <v>321644</v>
      </c>
      <c r="P19" s="574"/>
    </row>
    <row r="20" spans="1:16" s="539" customFormat="1" ht="15">
      <c r="A20" s="538" t="s">
        <v>267</v>
      </c>
      <c r="B20" s="538"/>
      <c r="C20" s="356">
        <v>10025687</v>
      </c>
      <c r="D20" s="356">
        <v>9871987</v>
      </c>
      <c r="E20" s="356">
        <v>10479192</v>
      </c>
      <c r="F20" s="356">
        <v>7507590</v>
      </c>
      <c r="G20" s="356">
        <v>5386243</v>
      </c>
      <c r="H20" s="356">
        <v>4630433</v>
      </c>
      <c r="I20" s="356">
        <v>4343155</v>
      </c>
      <c r="J20" s="356">
        <v>4599810</v>
      </c>
      <c r="K20" s="356">
        <v>4818714</v>
      </c>
      <c r="L20" s="356">
        <v>7848674</v>
      </c>
      <c r="M20" s="356">
        <v>8934025</v>
      </c>
      <c r="N20" s="356">
        <v>10871687</v>
      </c>
      <c r="O20" s="542">
        <f t="shared" si="4"/>
        <v>89317197</v>
      </c>
      <c r="P20" s="574"/>
    </row>
    <row r="21" spans="1:16" s="539" customFormat="1" ht="15">
      <c r="A21" s="538" t="s">
        <v>0</v>
      </c>
      <c r="B21" s="538"/>
      <c r="C21" s="356">
        <v>19750</v>
      </c>
      <c r="D21" s="356">
        <v>18712</v>
      </c>
      <c r="E21" s="356">
        <v>21798</v>
      </c>
      <c r="F21" s="356">
        <v>13275</v>
      </c>
      <c r="G21" s="356">
        <v>16380</v>
      </c>
      <c r="H21" s="356">
        <v>3968</v>
      </c>
      <c r="I21" s="356">
        <v>3839</v>
      </c>
      <c r="J21" s="356">
        <v>4049</v>
      </c>
      <c r="K21" s="356">
        <v>4997</v>
      </c>
      <c r="L21" s="356">
        <v>10294</v>
      </c>
      <c r="M21" s="356">
        <v>14522</v>
      </c>
      <c r="N21" s="356">
        <v>19470</v>
      </c>
      <c r="O21" s="542">
        <f t="shared" si="4"/>
        <v>151054</v>
      </c>
      <c r="P21" s="574"/>
    </row>
    <row r="22" spans="1:16" s="539" customFormat="1" ht="15">
      <c r="A22" s="538" t="s">
        <v>490</v>
      </c>
      <c r="B22" s="538"/>
      <c r="C22" s="356">
        <v>21712.399774687365</v>
      </c>
      <c r="D22" s="356">
        <v>20314.654487555847</v>
      </c>
      <c r="E22" s="356">
        <v>23391.44982659258</v>
      </c>
      <c r="F22" s="356">
        <v>13890.304295419715</v>
      </c>
      <c r="G22" s="356">
        <v>15299.68296528142</v>
      </c>
      <c r="H22" s="356">
        <v>14639.937611109577</v>
      </c>
      <c r="I22" s="356">
        <v>4045.818332056515</v>
      </c>
      <c r="J22" s="356">
        <v>2754.7651040339842</v>
      </c>
      <c r="K22" s="356">
        <v>4312.081289388239</v>
      </c>
      <c r="L22" s="356">
        <v>11935.23550938908</v>
      </c>
      <c r="M22" s="356">
        <v>16448.86291288212</v>
      </c>
      <c r="N22" s="356">
        <v>21473.33308250457</v>
      </c>
      <c r="O22" s="542">
        <f t="shared" si="4"/>
        <v>170218.525190901</v>
      </c>
      <c r="P22" s="574"/>
    </row>
    <row r="23" spans="1:16" s="539" customFormat="1" ht="15">
      <c r="A23" s="538" t="s">
        <v>476</v>
      </c>
      <c r="B23" s="538"/>
      <c r="C23" s="478">
        <v>10003975</v>
      </c>
      <c r="D23" s="478">
        <v>9851672</v>
      </c>
      <c r="E23" s="478">
        <v>10455801</v>
      </c>
      <c r="F23" s="478">
        <v>7493700</v>
      </c>
      <c r="G23" s="478">
        <v>5370943</v>
      </c>
      <c r="H23" s="478">
        <v>4615793</v>
      </c>
      <c r="I23" s="478">
        <v>4339109</v>
      </c>
      <c r="J23" s="381">
        <f>4597055</f>
        <v>4597055</v>
      </c>
      <c r="K23" s="381">
        <f>4814402</f>
        <v>4814402</v>
      </c>
      <c r="L23" s="478">
        <v>7836739</v>
      </c>
      <c r="M23" s="478">
        <v>8917576</v>
      </c>
      <c r="N23" s="478">
        <v>10850214</v>
      </c>
      <c r="O23" s="541">
        <f t="shared" si="4"/>
        <v>89146979</v>
      </c>
      <c r="P23" s="574"/>
    </row>
    <row r="24" spans="1:16" s="539" customFormat="1" ht="15">
      <c r="A24" s="538"/>
      <c r="B24" s="53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541"/>
      <c r="P24" s="574"/>
    </row>
    <row r="25" spans="1:16" s="539" customFormat="1" ht="15">
      <c r="A25" s="538" t="s">
        <v>484</v>
      </c>
      <c r="B25" s="538"/>
      <c r="C25" s="356">
        <v>8364.345983096384</v>
      </c>
      <c r="D25" s="356">
        <v>7859.122526129557</v>
      </c>
      <c r="E25" s="356">
        <v>7205.618626568226</v>
      </c>
      <c r="F25" s="356">
        <v>1584.8319367160777</v>
      </c>
      <c r="G25" s="356">
        <v>-1380.9993055464602</v>
      </c>
      <c r="H25" s="356">
        <v>11305.477160517481</v>
      </c>
      <c r="I25" s="356">
        <v>178.57723530540295</v>
      </c>
      <c r="J25" s="356">
        <v>-1232.102046384871</v>
      </c>
      <c r="K25" s="356">
        <v>-811.7255014585623</v>
      </c>
      <c r="L25" s="356">
        <v>5082.60159778139</v>
      </c>
      <c r="M25" s="356">
        <v>7592.801743226841</v>
      </c>
      <c r="N25" s="356">
        <v>9985.94254031426</v>
      </c>
      <c r="O25" s="542">
        <f t="shared" si="4"/>
        <v>55734.492496265724</v>
      </c>
      <c r="P25" s="574"/>
    </row>
    <row r="26" spans="1:16" s="539" customFormat="1" ht="15">
      <c r="A26" s="538" t="s">
        <v>485</v>
      </c>
      <c r="B26" s="538"/>
      <c r="C26" s="356">
        <v>15.31408242088226</v>
      </c>
      <c r="D26" s="356">
        <v>13.733258804735762</v>
      </c>
      <c r="E26" s="356">
        <v>14.957035622128085</v>
      </c>
      <c r="F26" s="356">
        <v>2.490619679082127</v>
      </c>
      <c r="G26" s="356">
        <v>-1.4747443218954965</v>
      </c>
      <c r="H26" s="356">
        <v>7.418118512878405</v>
      </c>
      <c r="I26" s="356">
        <v>0.13185578770450335</v>
      </c>
      <c r="J26" s="356">
        <v>-0.8556322286574187</v>
      </c>
      <c r="K26" s="356">
        <v>-0.6526036103406692</v>
      </c>
      <c r="L26" s="356">
        <v>3.8697966014497753</v>
      </c>
      <c r="M26" s="356">
        <v>8.338245873620766</v>
      </c>
      <c r="N26" s="356">
        <v>15.301328106235808</v>
      </c>
      <c r="O26" s="543">
        <f t="shared" si="4"/>
        <v>78.5713612478239</v>
      </c>
      <c r="P26" s="574"/>
    </row>
    <row r="27" spans="1:16" s="539" customFormat="1" ht="15">
      <c r="A27" s="538" t="s">
        <v>487</v>
      </c>
      <c r="B27" s="538"/>
      <c r="C27" s="356">
        <v>27127.254242216197</v>
      </c>
      <c r="D27" s="356">
        <v>22137.222986315246</v>
      </c>
      <c r="E27" s="356">
        <v>21991.931546839372</v>
      </c>
      <c r="F27" s="356">
        <v>8537.863767864004</v>
      </c>
      <c r="G27" s="356">
        <v>-15030.683659734657</v>
      </c>
      <c r="H27" s="356">
        <v>148580.5852283725</v>
      </c>
      <c r="I27" s="356">
        <v>2879.604432637907</v>
      </c>
      <c r="J27" s="356">
        <v>-18019.66305764916</v>
      </c>
      <c r="K27" s="356">
        <v>-9533.355787929499</v>
      </c>
      <c r="L27" s="356">
        <v>22812.162892829383</v>
      </c>
      <c r="M27" s="356">
        <v>26729.335343891682</v>
      </c>
      <c r="N27" s="356">
        <v>27697.724377181556</v>
      </c>
      <c r="O27" s="542">
        <f t="shared" si="4"/>
        <v>265909.9823128346</v>
      </c>
      <c r="P27" s="574"/>
    </row>
    <row r="28" spans="1:16" s="539" customFormat="1" ht="15">
      <c r="A28" s="538" t="s">
        <v>488</v>
      </c>
      <c r="B28" s="538"/>
      <c r="C28" s="356">
        <v>1947.0856922665284</v>
      </c>
      <c r="D28" s="356">
        <v>1588.921228750454</v>
      </c>
      <c r="E28" s="356">
        <v>1578.4927909702665</v>
      </c>
      <c r="F28" s="356">
        <v>612.8136757408397</v>
      </c>
      <c r="G28" s="356">
        <v>-1078.8422903969777</v>
      </c>
      <c r="H28" s="356">
        <v>10664.519492597086</v>
      </c>
      <c r="I28" s="356">
        <v>206.68647626898507</v>
      </c>
      <c r="J28" s="356">
        <v>-1293.37926373731</v>
      </c>
      <c r="K28" s="356">
        <v>-684.2661070015965</v>
      </c>
      <c r="L28" s="356">
        <v>1637.3657127877743</v>
      </c>
      <c r="M28" s="356">
        <v>1918.5246670078645</v>
      </c>
      <c r="N28" s="356">
        <v>1988.0317543979406</v>
      </c>
      <c r="O28" s="543">
        <f t="shared" si="4"/>
        <v>19085.953829651855</v>
      </c>
      <c r="P28" s="574"/>
    </row>
    <row r="29" spans="1:16" s="539" customFormat="1" ht="15">
      <c r="A29" s="538" t="s">
        <v>534</v>
      </c>
      <c r="B29" s="538"/>
      <c r="C29" s="544">
        <v>19.077</v>
      </c>
      <c r="D29" s="544">
        <v>16.977</v>
      </c>
      <c r="E29" s="544">
        <v>15.123</v>
      </c>
      <c r="F29" s="544">
        <v>14.268</v>
      </c>
      <c r="G29" s="544">
        <v>12.333</v>
      </c>
      <c r="H29" s="544">
        <v>11.733</v>
      </c>
      <c r="I29" s="544">
        <v>8.481</v>
      </c>
      <c r="J29" s="544">
        <v>9.174</v>
      </c>
      <c r="K29" s="544">
        <v>11.445</v>
      </c>
      <c r="L29" s="544">
        <v>14.829</v>
      </c>
      <c r="M29" s="544">
        <v>15.453</v>
      </c>
      <c r="N29" s="544">
        <v>17.388</v>
      </c>
      <c r="O29" s="540">
        <f>AVERAGE(C29:N29)</f>
        <v>13.85675</v>
      </c>
      <c r="P29" s="574"/>
    </row>
    <row r="30" spans="1:16" s="539" customFormat="1" ht="15">
      <c r="A30" s="546" t="s">
        <v>636</v>
      </c>
      <c r="B30" s="546"/>
      <c r="C30" s="547">
        <v>1.624</v>
      </c>
      <c r="D30" s="547">
        <v>1.575</v>
      </c>
      <c r="E30" s="547">
        <v>1.48</v>
      </c>
      <c r="F30" s="547">
        <v>1.64</v>
      </c>
      <c r="G30" s="547">
        <v>1.91</v>
      </c>
      <c r="H30" s="547">
        <v>1.954</v>
      </c>
      <c r="I30" s="547">
        <v>1.783</v>
      </c>
      <c r="J30" s="547">
        <v>2.736</v>
      </c>
      <c r="K30" s="547">
        <v>2.917</v>
      </c>
      <c r="L30" s="547">
        <v>3.986</v>
      </c>
      <c r="M30" s="547">
        <v>2.463</v>
      </c>
      <c r="N30" s="547">
        <v>2.182</v>
      </c>
      <c r="O30" s="541"/>
      <c r="P30" s="574"/>
    </row>
    <row r="31" spans="1:16" s="539" customFormat="1" ht="15">
      <c r="A31" s="538"/>
      <c r="B31" s="538"/>
      <c r="C31" s="478"/>
      <c r="D31" s="478"/>
      <c r="E31" s="478"/>
      <c r="F31" s="541">
        <v>2018</v>
      </c>
      <c r="G31" s="541" t="s">
        <v>477</v>
      </c>
      <c r="H31" s="478"/>
      <c r="I31" s="478"/>
      <c r="J31" s="478"/>
      <c r="K31" s="478"/>
      <c r="L31" s="478"/>
      <c r="M31" s="478"/>
      <c r="N31" s="478"/>
      <c r="O31" s="478"/>
      <c r="P31" s="574"/>
    </row>
    <row r="32" spans="1:16" s="539" customFormat="1" ht="15">
      <c r="A32" s="538" t="s">
        <v>478</v>
      </c>
      <c r="B32" s="538"/>
      <c r="C32" s="356">
        <v>72147</v>
      </c>
      <c r="D32" s="356">
        <v>45562</v>
      </c>
      <c r="E32" s="356">
        <v>79289</v>
      </c>
      <c r="F32" s="356">
        <v>42507</v>
      </c>
      <c r="G32" s="356">
        <v>16768</v>
      </c>
      <c r="H32" s="356">
        <v>16274</v>
      </c>
      <c r="I32" s="356">
        <v>14100</v>
      </c>
      <c r="J32" s="356">
        <v>11177</v>
      </c>
      <c r="K32" s="356">
        <v>26927</v>
      </c>
      <c r="L32" s="356">
        <v>25022</v>
      </c>
      <c r="M32" s="356">
        <v>13829</v>
      </c>
      <c r="N32" s="356">
        <v>15591</v>
      </c>
      <c r="O32" s="542">
        <f t="shared" si="4"/>
        <v>379193</v>
      </c>
      <c r="P32" s="574"/>
    </row>
    <row r="33" spans="1:16" s="539" customFormat="1" ht="15">
      <c r="A33" s="538" t="s">
        <v>475</v>
      </c>
      <c r="B33" s="538"/>
      <c r="C33" s="356">
        <v>888</v>
      </c>
      <c r="D33" s="356">
        <v>711</v>
      </c>
      <c r="E33" s="356">
        <v>1640</v>
      </c>
      <c r="F33" s="356">
        <v>909</v>
      </c>
      <c r="G33" s="356">
        <v>387</v>
      </c>
      <c r="H33" s="356">
        <v>381</v>
      </c>
      <c r="I33" s="356">
        <v>303</v>
      </c>
      <c r="J33" s="356">
        <v>213</v>
      </c>
      <c r="K33" s="356">
        <v>345</v>
      </c>
      <c r="L33" s="356">
        <v>314</v>
      </c>
      <c r="M33" s="356">
        <v>176</v>
      </c>
      <c r="N33" s="356">
        <v>202</v>
      </c>
      <c r="O33" s="542">
        <f t="shared" si="4"/>
        <v>6469</v>
      </c>
      <c r="P33" s="574"/>
    </row>
    <row r="34" spans="1:16" s="539" customFormat="1" ht="15">
      <c r="A34" s="538" t="s">
        <v>479</v>
      </c>
      <c r="B34" s="538"/>
      <c r="C34" s="478">
        <v>71259</v>
      </c>
      <c r="D34" s="478">
        <v>44851</v>
      </c>
      <c r="E34" s="478">
        <v>77649</v>
      </c>
      <c r="F34" s="478">
        <v>41598</v>
      </c>
      <c r="G34" s="478">
        <v>16381</v>
      </c>
      <c r="H34" s="478">
        <v>15893</v>
      </c>
      <c r="I34" s="478">
        <v>13797</v>
      </c>
      <c r="J34" s="478">
        <v>10964</v>
      </c>
      <c r="K34" s="478">
        <v>26582</v>
      </c>
      <c r="L34" s="478">
        <v>24708</v>
      </c>
      <c r="M34" s="478">
        <v>13653</v>
      </c>
      <c r="N34" s="478">
        <v>15389</v>
      </c>
      <c r="O34" s="541">
        <f t="shared" si="4"/>
        <v>372724</v>
      </c>
      <c r="P34" s="574"/>
    </row>
    <row r="35" spans="1:16" s="539" customFormat="1" ht="15">
      <c r="A35" s="538" t="s">
        <v>480</v>
      </c>
      <c r="B35" s="538"/>
      <c r="C35" s="356">
        <v>1202</v>
      </c>
      <c r="D35" s="356">
        <v>139</v>
      </c>
      <c r="E35" s="356">
        <v>254</v>
      </c>
      <c r="F35" s="356">
        <v>135</v>
      </c>
      <c r="G35" s="356">
        <v>55</v>
      </c>
      <c r="H35" s="356">
        <v>42</v>
      </c>
      <c r="I35" s="356">
        <v>45</v>
      </c>
      <c r="J35" s="356">
        <v>35</v>
      </c>
      <c r="K35" s="356">
        <v>80</v>
      </c>
      <c r="L35" s="356">
        <v>76</v>
      </c>
      <c r="M35" s="356">
        <v>41</v>
      </c>
      <c r="N35" s="356">
        <v>45</v>
      </c>
      <c r="O35" s="542">
        <f t="shared" si="4"/>
        <v>2149</v>
      </c>
      <c r="P35" s="574"/>
    </row>
    <row r="36" spans="1:16" s="539" customFormat="1" ht="15">
      <c r="A36" s="538" t="s">
        <v>481</v>
      </c>
      <c r="B36" s="538"/>
      <c r="C36" s="356">
        <v>70057</v>
      </c>
      <c r="D36" s="356">
        <v>44712</v>
      </c>
      <c r="E36" s="356">
        <v>77395</v>
      </c>
      <c r="F36" s="356">
        <v>41463</v>
      </c>
      <c r="G36" s="356">
        <v>16326</v>
      </c>
      <c r="H36" s="356">
        <v>15851</v>
      </c>
      <c r="I36" s="356">
        <v>13752</v>
      </c>
      <c r="J36" s="356">
        <v>10929</v>
      </c>
      <c r="K36" s="356">
        <v>26502</v>
      </c>
      <c r="L36" s="356">
        <v>24632</v>
      </c>
      <c r="M36" s="356">
        <v>13612</v>
      </c>
      <c r="N36" s="356">
        <v>15344</v>
      </c>
      <c r="O36" s="542">
        <f t="shared" si="4"/>
        <v>370575</v>
      </c>
      <c r="P36" s="574"/>
    </row>
    <row r="37" spans="1:16" s="539" customFormat="1" ht="15">
      <c r="A37" s="538"/>
      <c r="B37" s="53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541"/>
      <c r="P37" s="574"/>
    </row>
    <row r="38" spans="1:16" s="539" customFormat="1" ht="15">
      <c r="A38" s="538" t="s">
        <v>485</v>
      </c>
      <c r="B38" s="538"/>
      <c r="C38" s="356">
        <v>217</v>
      </c>
      <c r="D38" s="356">
        <v>107</v>
      </c>
      <c r="E38" s="356">
        <v>397</v>
      </c>
      <c r="F38" s="356">
        <v>119</v>
      </c>
      <c r="G38" s="356">
        <v>6</v>
      </c>
      <c r="H38" s="356">
        <v>8</v>
      </c>
      <c r="I38" s="356">
        <v>5</v>
      </c>
      <c r="J38" s="356">
        <v>2</v>
      </c>
      <c r="K38" s="356">
        <v>32</v>
      </c>
      <c r="L38" s="356">
        <v>28</v>
      </c>
      <c r="M38" s="356">
        <v>4</v>
      </c>
      <c r="N38" s="356">
        <v>5</v>
      </c>
      <c r="O38" s="543">
        <f t="shared" si="4"/>
        <v>930</v>
      </c>
      <c r="P38" s="574"/>
    </row>
    <row r="39" spans="1:16" s="539" customFormat="1" ht="15">
      <c r="A39" s="538" t="s">
        <v>486</v>
      </c>
      <c r="B39" s="538"/>
      <c r="C39" s="356">
        <v>1201.3940854325133</v>
      </c>
      <c r="D39" s="356">
        <v>138.66233651114462</v>
      </c>
      <c r="E39" s="356">
        <v>253.7315258183178</v>
      </c>
      <c r="F39" s="356">
        <v>134.86084915617803</v>
      </c>
      <c r="G39" s="356">
        <v>54.41206018177388</v>
      </c>
      <c r="H39" s="356">
        <v>41.97133949095141</v>
      </c>
      <c r="I39" s="356">
        <v>45.2928508067847</v>
      </c>
      <c r="J39" s="356">
        <v>35.270695174723244</v>
      </c>
      <c r="K39" s="356">
        <v>80.07575792403158</v>
      </c>
      <c r="L39" s="356">
        <v>75.82348160626688</v>
      </c>
      <c r="M39" s="356">
        <v>40.65461627727423</v>
      </c>
      <c r="N39" s="356">
        <v>45.20600929809483</v>
      </c>
      <c r="O39" s="543">
        <f t="shared" si="4"/>
        <v>2147.355607678054</v>
      </c>
      <c r="P39" s="574"/>
    </row>
    <row r="40" spans="1:16" s="539" customFormat="1" ht="15">
      <c r="A40" s="538" t="s">
        <v>488</v>
      </c>
      <c r="B40" s="538"/>
      <c r="C40" s="356">
        <v>670.866483414061</v>
      </c>
      <c r="D40" s="356">
        <v>604.5489707708269</v>
      </c>
      <c r="E40" s="356">
        <v>1242.9243565017932</v>
      </c>
      <c r="F40" s="356">
        <v>789.7903734141473</v>
      </c>
      <c r="G40" s="356">
        <v>381.2532713344281</v>
      </c>
      <c r="H40" s="356">
        <v>373.30409102946885</v>
      </c>
      <c r="I40" s="356">
        <v>297.5679110091121</v>
      </c>
      <c r="J40" s="356">
        <v>210.30663230705272</v>
      </c>
      <c r="K40" s="356">
        <v>312.4229618054232</v>
      </c>
      <c r="L40" s="356">
        <v>286.5968070568195</v>
      </c>
      <c r="M40" s="356">
        <v>172.512158151031</v>
      </c>
      <c r="N40" s="356">
        <v>196.71885021431243</v>
      </c>
      <c r="O40" s="543">
        <f t="shared" si="4"/>
        <v>5538.812867008477</v>
      </c>
      <c r="P40" s="574"/>
    </row>
    <row r="41" spans="1:16" s="539" customFormat="1" ht="15">
      <c r="A41" s="538" t="s">
        <v>489</v>
      </c>
      <c r="B41" s="538"/>
      <c r="C41" s="356">
        <v>0.24591456748606835</v>
      </c>
      <c r="D41" s="356">
        <v>0.01766348885568709</v>
      </c>
      <c r="E41" s="356">
        <v>0.028474181633296614</v>
      </c>
      <c r="F41" s="356">
        <v>0.07915084385339961</v>
      </c>
      <c r="G41" s="356">
        <v>0.18793981821193353</v>
      </c>
      <c r="H41" s="356">
        <v>0.12866050905259657</v>
      </c>
      <c r="I41" s="356">
        <v>0.15714919319966375</v>
      </c>
      <c r="J41" s="356">
        <v>0.1293048252673039</v>
      </c>
      <c r="K41" s="356">
        <v>0.024242075999714698</v>
      </c>
      <c r="L41" s="356">
        <v>0.026518393757133295</v>
      </c>
      <c r="M41" s="356">
        <v>0.04538372274286893</v>
      </c>
      <c r="N41" s="356">
        <v>0.04399070191063092</v>
      </c>
      <c r="O41" s="543">
        <f t="shared" si="4"/>
        <v>1.1143923219702974</v>
      </c>
      <c r="P41" s="574"/>
    </row>
    <row r="42" spans="1:16" s="539" customFormat="1" ht="15">
      <c r="A42" s="538" t="s">
        <v>534</v>
      </c>
      <c r="B42" s="538"/>
      <c r="C42" s="544">
        <v>0.413</v>
      </c>
      <c r="D42" s="544">
        <v>0.237</v>
      </c>
      <c r="E42" s="544">
        <v>0.414</v>
      </c>
      <c r="F42" s="544">
        <v>0.402</v>
      </c>
      <c r="G42" s="544">
        <v>0.088</v>
      </c>
      <c r="H42" s="544">
        <v>0.246</v>
      </c>
      <c r="I42" s="544">
        <v>0.186</v>
      </c>
      <c r="J42" s="544">
        <v>0.144</v>
      </c>
      <c r="K42" s="544">
        <v>0.204</v>
      </c>
      <c r="L42" s="544">
        <v>0.224</v>
      </c>
      <c r="M42" s="544">
        <v>0.077</v>
      </c>
      <c r="N42" s="544">
        <v>0.14</v>
      </c>
      <c r="O42" s="540">
        <f>ROUND(AVERAGE(C42:N42),3)</f>
        <v>0.231</v>
      </c>
      <c r="P42" s="574"/>
    </row>
    <row r="43" spans="1:16" s="539" customFormat="1" ht="15">
      <c r="A43" s="538"/>
      <c r="B43" s="53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541"/>
      <c r="P43" s="574"/>
    </row>
    <row r="44" spans="3:16" s="539" customFormat="1" ht="15">
      <c r="C44" s="478"/>
      <c r="D44" s="478"/>
      <c r="E44" s="478"/>
      <c r="F44" s="541">
        <v>2018</v>
      </c>
      <c r="G44" s="541" t="s">
        <v>482</v>
      </c>
      <c r="H44" s="478"/>
      <c r="I44" s="478"/>
      <c r="J44" s="478"/>
      <c r="K44" s="478"/>
      <c r="L44" s="478"/>
      <c r="M44" s="478"/>
      <c r="N44" s="478"/>
      <c r="O44" s="478"/>
      <c r="P44" s="574"/>
    </row>
    <row r="45" spans="1:16" s="539" customFormat="1" ht="15">
      <c r="A45" s="538" t="s">
        <v>478</v>
      </c>
      <c r="C45" s="356">
        <v>155362</v>
      </c>
      <c r="D45" s="356">
        <v>80059</v>
      </c>
      <c r="E45" s="356">
        <v>83527</v>
      </c>
      <c r="F45" s="356">
        <v>83983</v>
      </c>
      <c r="G45" s="356">
        <v>105597</v>
      </c>
      <c r="H45" s="356">
        <v>53242</v>
      </c>
      <c r="I45" s="356">
        <v>57878</v>
      </c>
      <c r="J45" s="356">
        <v>62646</v>
      </c>
      <c r="K45" s="356">
        <v>69745</v>
      </c>
      <c r="L45" s="356">
        <v>94073</v>
      </c>
      <c r="M45" s="356">
        <v>116515</v>
      </c>
      <c r="N45" s="356">
        <v>152356</v>
      </c>
      <c r="O45" s="542">
        <f t="shared" si="4"/>
        <v>1114983</v>
      </c>
      <c r="P45" s="574"/>
    </row>
    <row r="46" spans="1:16" s="539" customFormat="1" ht="15">
      <c r="A46" s="538" t="s">
        <v>475</v>
      </c>
      <c r="C46" s="356">
        <v>3322</v>
      </c>
      <c r="D46" s="356">
        <v>1579</v>
      </c>
      <c r="E46" s="356">
        <v>1776</v>
      </c>
      <c r="F46" s="356">
        <v>1603</v>
      </c>
      <c r="G46" s="356">
        <v>1957</v>
      </c>
      <c r="H46" s="356">
        <v>1062</v>
      </c>
      <c r="I46" s="356">
        <v>1178</v>
      </c>
      <c r="J46" s="356">
        <v>1226</v>
      </c>
      <c r="K46" s="356">
        <v>1325</v>
      </c>
      <c r="L46" s="356">
        <v>1813</v>
      </c>
      <c r="M46" s="356">
        <v>2275</v>
      </c>
      <c r="N46" s="356">
        <v>3016</v>
      </c>
      <c r="O46" s="542">
        <f t="shared" si="4"/>
        <v>22132</v>
      </c>
      <c r="P46" s="574"/>
    </row>
    <row r="47" spans="1:16" s="539" customFormat="1" ht="15">
      <c r="A47" s="538" t="s">
        <v>479</v>
      </c>
      <c r="C47" s="478">
        <v>152040</v>
      </c>
      <c r="D47" s="478">
        <v>78480</v>
      </c>
      <c r="E47" s="478">
        <v>81751</v>
      </c>
      <c r="F47" s="478">
        <v>82380</v>
      </c>
      <c r="G47" s="478">
        <v>103640</v>
      </c>
      <c r="H47" s="478">
        <v>52180</v>
      </c>
      <c r="I47" s="478">
        <v>56700</v>
      </c>
      <c r="J47" s="478">
        <v>61420</v>
      </c>
      <c r="K47" s="478">
        <v>68420</v>
      </c>
      <c r="L47" s="478">
        <v>92260</v>
      </c>
      <c r="M47" s="478">
        <v>114240</v>
      </c>
      <c r="N47" s="478">
        <v>149340</v>
      </c>
      <c r="O47" s="541">
        <f t="shared" si="4"/>
        <v>1092851</v>
      </c>
      <c r="P47" s="574"/>
    </row>
    <row r="48" spans="1:16" s="539" customFormat="1" ht="15">
      <c r="A48" s="538" t="s">
        <v>535</v>
      </c>
      <c r="C48" s="548">
        <v>109260</v>
      </c>
      <c r="D48" s="548">
        <v>56820</v>
      </c>
      <c r="E48" s="548">
        <v>92160</v>
      </c>
      <c r="F48" s="548">
        <v>67200</v>
      </c>
      <c r="G48" s="548">
        <v>54600</v>
      </c>
      <c r="H48" s="548">
        <v>47460</v>
      </c>
      <c r="I48" s="548">
        <v>51300</v>
      </c>
      <c r="J48" s="548">
        <v>44040</v>
      </c>
      <c r="K48" s="548">
        <v>62520</v>
      </c>
      <c r="L48" s="548">
        <v>63420</v>
      </c>
      <c r="M48" s="548">
        <v>69060</v>
      </c>
      <c r="N48" s="548">
        <v>78480</v>
      </c>
      <c r="O48" s="549">
        <f>SUM(C48:N48)</f>
        <v>796320</v>
      </c>
      <c r="P48" s="574"/>
    </row>
    <row r="49" spans="1:16" s="539" customFormat="1" ht="15">
      <c r="A49" s="538" t="s">
        <v>480</v>
      </c>
      <c r="C49" s="356">
        <v>10079</v>
      </c>
      <c r="D49" s="356">
        <v>6147</v>
      </c>
      <c r="E49" s="356">
        <v>7183</v>
      </c>
      <c r="F49" s="356">
        <v>3216</v>
      </c>
      <c r="G49" s="356">
        <v>4450</v>
      </c>
      <c r="H49" s="356">
        <v>3752</v>
      </c>
      <c r="I49" s="356">
        <v>3953</v>
      </c>
      <c r="J49" s="356">
        <v>3209</v>
      </c>
      <c r="K49" s="356">
        <v>3994</v>
      </c>
      <c r="L49" s="356">
        <v>5305</v>
      </c>
      <c r="M49" s="356">
        <v>5582</v>
      </c>
      <c r="N49" s="356">
        <v>5930</v>
      </c>
      <c r="O49" s="542">
        <f t="shared" si="4"/>
        <v>62800</v>
      </c>
      <c r="P49" s="574"/>
    </row>
    <row r="50" spans="1:16" s="539" customFormat="1" ht="15">
      <c r="A50" s="538" t="s">
        <v>481</v>
      </c>
      <c r="C50" s="356">
        <v>251221</v>
      </c>
      <c r="D50" s="356">
        <v>129153</v>
      </c>
      <c r="E50" s="356">
        <v>166728</v>
      </c>
      <c r="F50" s="356">
        <v>146364</v>
      </c>
      <c r="G50" s="356">
        <v>153790</v>
      </c>
      <c r="H50" s="356">
        <v>95888</v>
      </c>
      <c r="I50" s="356">
        <v>104047</v>
      </c>
      <c r="J50" s="356">
        <v>102251</v>
      </c>
      <c r="K50" s="356">
        <v>126946</v>
      </c>
      <c r="L50" s="356">
        <v>150375</v>
      </c>
      <c r="M50" s="356">
        <v>177718</v>
      </c>
      <c r="N50" s="356">
        <v>221890</v>
      </c>
      <c r="O50" s="542">
        <f t="shared" si="4"/>
        <v>1826371</v>
      </c>
      <c r="P50" s="574"/>
    </row>
    <row r="51" spans="1:16" s="539" customFormat="1" ht="15">
      <c r="A51" s="53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541"/>
      <c r="P51" s="574"/>
    </row>
    <row r="52" spans="1:16" s="539" customFormat="1" ht="15">
      <c r="A52" s="538" t="s">
        <v>485</v>
      </c>
      <c r="C52" s="356">
        <v>632.2099685595022</v>
      </c>
      <c r="D52" s="356">
        <v>299.2230549898125</v>
      </c>
      <c r="E52" s="356">
        <v>327.70264273962096</v>
      </c>
      <c r="F52" s="356">
        <v>146.26168743589122</v>
      </c>
      <c r="G52" s="356">
        <v>219.41138781552038</v>
      </c>
      <c r="H52" s="356">
        <v>121.69908648988996</v>
      </c>
      <c r="I52" s="356">
        <v>140.6720681008618</v>
      </c>
      <c r="J52" s="356">
        <v>124.1955774717703</v>
      </c>
      <c r="K52" s="356">
        <v>139.5591064481375</v>
      </c>
      <c r="L52" s="356">
        <v>236.63203052623857</v>
      </c>
      <c r="M52" s="356">
        <v>329.7270519201992</v>
      </c>
      <c r="N52" s="356">
        <v>462.3787656469533</v>
      </c>
      <c r="O52" s="543">
        <f t="shared" si="4"/>
        <v>3179.6724281443976</v>
      </c>
      <c r="P52" s="574"/>
    </row>
    <row r="53" spans="1:16" s="539" customFormat="1" ht="15">
      <c r="A53" s="538" t="s">
        <v>486</v>
      </c>
      <c r="C53" s="356">
        <v>4188.573220963124</v>
      </c>
      <c r="D53" s="356">
        <v>1725.143119138621</v>
      </c>
      <c r="E53" s="356">
        <v>2395.9470951697103</v>
      </c>
      <c r="F53" s="356">
        <v>2052.293096807621</v>
      </c>
      <c r="G53" s="356">
        <v>2218.364186953311</v>
      </c>
      <c r="H53" s="356">
        <v>921.4608960982337</v>
      </c>
      <c r="I53" s="356">
        <v>1038.8385124524746</v>
      </c>
      <c r="J53" s="356">
        <v>1080.4226529570446</v>
      </c>
      <c r="K53" s="356">
        <v>1602.5328859232934</v>
      </c>
      <c r="L53" s="356">
        <v>2132.265581674861</v>
      </c>
      <c r="M53" s="356">
        <v>2398.0145746969215</v>
      </c>
      <c r="N53" s="356">
        <v>3285.3345889820184</v>
      </c>
      <c r="O53" s="542">
        <f t="shared" si="4"/>
        <v>25039.19041181723</v>
      </c>
      <c r="P53" s="574"/>
    </row>
    <row r="54" spans="1:16" s="539" customFormat="1" ht="15">
      <c r="A54" s="538" t="s">
        <v>488</v>
      </c>
      <c r="C54" s="356">
        <v>7705.082563902032</v>
      </c>
      <c r="D54" s="356">
        <v>4911.189990255128</v>
      </c>
      <c r="E54" s="356">
        <v>5360.216015515327</v>
      </c>
      <c r="F54" s="356">
        <v>1773.5411061674465</v>
      </c>
      <c r="G54" s="356">
        <v>3094.090178655825</v>
      </c>
      <c r="H54" s="356">
        <v>2923.9359078228354</v>
      </c>
      <c r="I54" s="356">
        <v>3076.3551728713214</v>
      </c>
      <c r="J54" s="356">
        <v>2355.2475229958427</v>
      </c>
      <c r="K54" s="356">
        <v>2730.0038980395275</v>
      </c>
      <c r="L54" s="356">
        <v>3873.9681412235577</v>
      </c>
      <c r="M54" s="356">
        <v>4282.354263793838</v>
      </c>
      <c r="N54" s="356">
        <v>4323.152398795686</v>
      </c>
      <c r="O54" s="543">
        <f t="shared" si="4"/>
        <v>46409.13716003837</v>
      </c>
      <c r="P54" s="574"/>
    </row>
    <row r="55" spans="1:16" s="539" customFormat="1" ht="15">
      <c r="A55" s="538" t="s">
        <v>489</v>
      </c>
      <c r="C55" s="356">
        <v>875.1342465753426</v>
      </c>
      <c r="D55" s="356">
        <v>790.4438356164384</v>
      </c>
      <c r="E55" s="356">
        <v>875.1342465753426</v>
      </c>
      <c r="F55" s="356">
        <v>846.9041095890411</v>
      </c>
      <c r="G55" s="356">
        <v>875.1342465753426</v>
      </c>
      <c r="H55" s="356">
        <v>846.9041095890411</v>
      </c>
      <c r="I55" s="356">
        <v>875.1342465753426</v>
      </c>
      <c r="J55" s="356">
        <v>875.1342465753426</v>
      </c>
      <c r="K55" s="356">
        <v>846.9041095890411</v>
      </c>
      <c r="L55" s="356">
        <v>875.1342465753426</v>
      </c>
      <c r="M55" s="356">
        <v>846.9041095890411</v>
      </c>
      <c r="N55" s="356">
        <v>875.1342465753426</v>
      </c>
      <c r="O55" s="542">
        <f t="shared" si="4"/>
        <v>10304</v>
      </c>
      <c r="P55" s="574"/>
    </row>
    <row r="56" spans="1:16" s="539" customFormat="1" ht="15">
      <c r="A56" s="538" t="s">
        <v>536</v>
      </c>
      <c r="C56" s="544">
        <f>C45/C17/24*C30/1000</f>
        <v>0.33912350537634417</v>
      </c>
      <c r="D56" s="544">
        <f aca="true" t="shared" si="5" ref="D56:N56">D45/D17/24*D30/1000</f>
        <v>0.18763828125</v>
      </c>
      <c r="E56" s="544">
        <f t="shared" si="5"/>
        <v>0.16615586021505377</v>
      </c>
      <c r="F56" s="544">
        <f t="shared" si="5"/>
        <v>0.19129461111111112</v>
      </c>
      <c r="G56" s="544">
        <f t="shared" si="5"/>
        <v>0.2710890725806452</v>
      </c>
      <c r="H56" s="544">
        <f t="shared" si="5"/>
        <v>0.1444928722222222</v>
      </c>
      <c r="I56" s="544">
        <f t="shared" si="5"/>
        <v>0.138704938172043</v>
      </c>
      <c r="J56" s="544">
        <f t="shared" si="5"/>
        <v>0.23037561290322583</v>
      </c>
      <c r="K56" s="544">
        <f t="shared" si="5"/>
        <v>0.28256411805555554</v>
      </c>
      <c r="L56" s="544">
        <f t="shared" si="5"/>
        <v>0.503998626344086</v>
      </c>
      <c r="M56" s="544">
        <f t="shared" si="5"/>
        <v>0.3985783958333333</v>
      </c>
      <c r="N56" s="544">
        <f t="shared" si="5"/>
        <v>0.44682902150537634</v>
      </c>
      <c r="O56" s="540">
        <f>ROUND(AVERAGE(C56:N56),3)</f>
        <v>0.275</v>
      </c>
      <c r="P56" s="574"/>
    </row>
    <row r="57" spans="1:16" s="539" customFormat="1" ht="15">
      <c r="A57" s="538" t="s">
        <v>537</v>
      </c>
      <c r="C57" s="544">
        <f>C48/C17/24*C30/1000</f>
        <v>0.23849225806451613</v>
      </c>
      <c r="D57" s="544">
        <f aca="true" t="shared" si="6" ref="D57:N57">D48/D17/24*D30/1000</f>
        <v>0.133171875</v>
      </c>
      <c r="E57" s="544">
        <f t="shared" si="6"/>
        <v>0.18332903225806452</v>
      </c>
      <c r="F57" s="544">
        <f t="shared" si="6"/>
        <v>0.15306666666666666</v>
      </c>
      <c r="G57" s="544">
        <f t="shared" si="6"/>
        <v>0.14016935483870965</v>
      </c>
      <c r="H57" s="544">
        <f t="shared" si="6"/>
        <v>0.12880116666666666</v>
      </c>
      <c r="I57" s="544">
        <f t="shared" si="6"/>
        <v>0.12294072580645161</v>
      </c>
      <c r="J57" s="544">
        <f t="shared" si="6"/>
        <v>0.1619535483870968</v>
      </c>
      <c r="K57" s="544">
        <f t="shared" si="6"/>
        <v>0.2532928333333333</v>
      </c>
      <c r="L57" s="544">
        <f t="shared" si="6"/>
        <v>0.33977435483870966</v>
      </c>
      <c r="M57" s="544">
        <f t="shared" si="6"/>
        <v>0.23624275000000003</v>
      </c>
      <c r="N57" s="544">
        <f t="shared" si="6"/>
        <v>0.2301658064516129</v>
      </c>
      <c r="O57" s="540">
        <f>ROUND(AVERAGE(C57:N57),3)</f>
        <v>0.193</v>
      </c>
      <c r="P57" s="574"/>
    </row>
    <row r="58" spans="1:16" s="539" customFormat="1" ht="15">
      <c r="A58" s="538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5"/>
      <c r="P58" s="574"/>
    </row>
    <row r="59" spans="1:16" s="539" customFormat="1" ht="15">
      <c r="A59" s="538"/>
      <c r="C59" s="544"/>
      <c r="D59" s="544"/>
      <c r="E59" s="544"/>
      <c r="F59" s="541">
        <v>2018</v>
      </c>
      <c r="G59" s="541" t="s">
        <v>641</v>
      </c>
      <c r="H59" s="544"/>
      <c r="I59" s="544"/>
      <c r="J59" s="544"/>
      <c r="K59" s="544"/>
      <c r="L59" s="544"/>
      <c r="M59" s="544"/>
      <c r="N59" s="544"/>
      <c r="O59" s="545"/>
      <c r="P59" s="574"/>
    </row>
    <row r="60" spans="1:16" s="539" customFormat="1" ht="15">
      <c r="A60" s="538" t="s">
        <v>478</v>
      </c>
      <c r="B60" s="538"/>
      <c r="C60" s="356"/>
      <c r="D60" s="558" t="s">
        <v>643</v>
      </c>
      <c r="E60" s="558"/>
      <c r="F60" s="559">
        <v>25.200000000000003</v>
      </c>
      <c r="G60" s="558" t="s">
        <v>644</v>
      </c>
      <c r="H60" s="478"/>
      <c r="I60" s="478"/>
      <c r="J60" s="478">
        <v>27507</v>
      </c>
      <c r="K60" s="478">
        <v>9443</v>
      </c>
      <c r="L60" s="478">
        <v>18610</v>
      </c>
      <c r="M60" s="478">
        <v>21650</v>
      </c>
      <c r="N60" s="478">
        <v>22210</v>
      </c>
      <c r="O60" s="555">
        <f>SUM(J60:N60)</f>
        <v>99420</v>
      </c>
      <c r="P60" s="574"/>
    </row>
    <row r="61" spans="1:16" s="539" customFormat="1" ht="15">
      <c r="A61" s="538" t="s">
        <v>475</v>
      </c>
      <c r="B61" s="538"/>
      <c r="C61" s="356"/>
      <c r="D61" s="556" t="s">
        <v>645</v>
      </c>
      <c r="E61" s="556"/>
      <c r="F61" s="560">
        <v>0.0027397260273972603</v>
      </c>
      <c r="G61" s="556" t="s">
        <v>644</v>
      </c>
      <c r="H61" s="356"/>
      <c r="I61" s="356"/>
      <c r="J61" s="356">
        <v>1053</v>
      </c>
      <c r="K61" s="356">
        <v>956</v>
      </c>
      <c r="L61" s="356">
        <v>1019</v>
      </c>
      <c r="M61" s="356">
        <v>1002</v>
      </c>
      <c r="N61" s="356">
        <v>838</v>
      </c>
      <c r="O61" s="542">
        <f>SUM(J61:N61)</f>
        <v>4868</v>
      </c>
      <c r="P61" s="574"/>
    </row>
    <row r="62" spans="1:16" s="539" customFormat="1" ht="15">
      <c r="A62" s="538" t="s">
        <v>479</v>
      </c>
      <c r="B62" s="538"/>
      <c r="C62" s="356"/>
      <c r="D62" s="556" t="s">
        <v>646</v>
      </c>
      <c r="E62" s="556"/>
      <c r="F62" s="560">
        <v>0.273972602739726</v>
      </c>
      <c r="G62" s="556" t="s">
        <v>644</v>
      </c>
      <c r="H62" s="356"/>
      <c r="I62" s="356"/>
      <c r="J62" s="356">
        <v>26454</v>
      </c>
      <c r="K62" s="356">
        <v>8487</v>
      </c>
      <c r="L62" s="356">
        <v>17591</v>
      </c>
      <c r="M62" s="356">
        <v>20648</v>
      </c>
      <c r="N62" s="356">
        <v>21372</v>
      </c>
      <c r="O62" s="542">
        <f>SUM(J62:N62)</f>
        <v>94552</v>
      </c>
      <c r="P62" s="574"/>
    </row>
    <row r="63" spans="1:16" s="539" customFormat="1" ht="15">
      <c r="A63" s="538" t="s">
        <v>480</v>
      </c>
      <c r="B63" s="538"/>
      <c r="C63" s="356"/>
      <c r="D63" s="556" t="s">
        <v>647</v>
      </c>
      <c r="E63" s="556"/>
      <c r="F63" s="560">
        <v>5.205479452054794</v>
      </c>
      <c r="G63" s="556" t="s">
        <v>644</v>
      </c>
      <c r="H63" s="356"/>
      <c r="I63" s="356"/>
      <c r="J63" s="356">
        <v>2334</v>
      </c>
      <c r="K63" s="356">
        <v>207</v>
      </c>
      <c r="L63" s="356">
        <v>1631</v>
      </c>
      <c r="M63" s="356">
        <v>1448</v>
      </c>
      <c r="N63" s="356">
        <v>132</v>
      </c>
      <c r="O63" s="542">
        <f>SUM(J63:N63)</f>
        <v>5752</v>
      </c>
      <c r="P63" s="574"/>
    </row>
    <row r="64" spans="1:16" s="539" customFormat="1" ht="15">
      <c r="A64" s="538" t="s">
        <v>481</v>
      </c>
      <c r="B64" s="538"/>
      <c r="C64" s="356"/>
      <c r="D64" s="558" t="s">
        <v>648</v>
      </c>
      <c r="E64" s="558"/>
      <c r="F64" s="559">
        <v>0.030821917808219176</v>
      </c>
      <c r="G64" s="558" t="s">
        <v>644</v>
      </c>
      <c r="H64" s="478"/>
      <c r="I64" s="478"/>
      <c r="J64" s="478">
        <v>24120</v>
      </c>
      <c r="K64" s="478">
        <v>8280</v>
      </c>
      <c r="L64" s="478">
        <v>15960</v>
      </c>
      <c r="M64" s="478">
        <v>19200</v>
      </c>
      <c r="N64" s="478">
        <v>21240</v>
      </c>
      <c r="O64" s="555">
        <f>SUM(J64:N64)</f>
        <v>88800</v>
      </c>
      <c r="P64" s="574"/>
    </row>
    <row r="65" spans="1:16" s="539" customFormat="1" ht="15">
      <c r="A65" s="538"/>
      <c r="B65" s="538"/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542"/>
      <c r="P65" s="574"/>
    </row>
    <row r="66" spans="1:16" s="539" customFormat="1" ht="15">
      <c r="A66" s="538" t="s">
        <v>485</v>
      </c>
      <c r="B66" s="538"/>
      <c r="C66" s="556" t="s">
        <v>642</v>
      </c>
      <c r="D66" s="556"/>
      <c r="E66" s="557">
        <v>0.004182298396093755</v>
      </c>
      <c r="F66" s="478"/>
      <c r="G66" s="478"/>
      <c r="H66" s="478"/>
      <c r="I66" s="478"/>
      <c r="J66" s="356">
        <f>J60*$E$66</f>
        <v>115.04248198135092</v>
      </c>
      <c r="K66" s="356">
        <f>K60*$E$66</f>
        <v>39.49344375431333</v>
      </c>
      <c r="L66" s="356">
        <f>L60*$E$66</f>
        <v>77.83257315130479</v>
      </c>
      <c r="M66" s="356">
        <f>M60*$E$66</f>
        <v>90.5467602754298</v>
      </c>
      <c r="N66" s="356">
        <f>N60*$E$66</f>
        <v>92.8888473772423</v>
      </c>
      <c r="O66" s="542">
        <f>SUM(C66:N66)</f>
        <v>415.80828883803724</v>
      </c>
      <c r="P66" s="574"/>
    </row>
    <row r="67" spans="1:16" s="539" customFormat="1" ht="15">
      <c r="A67" s="538" t="s">
        <v>486</v>
      </c>
      <c r="B67" s="538"/>
      <c r="C67" s="356"/>
      <c r="D67" s="478"/>
      <c r="E67" s="478"/>
      <c r="F67" s="478"/>
      <c r="G67" s="478"/>
      <c r="H67" s="478"/>
      <c r="I67" s="478"/>
      <c r="J67" s="356">
        <f>J63-J69</f>
        <v>2258</v>
      </c>
      <c r="K67" s="356">
        <f>K63-K69</f>
        <v>133</v>
      </c>
      <c r="L67" s="356">
        <f>L63-L69</f>
        <v>1555</v>
      </c>
      <c r="M67" s="356">
        <f>M63-M69</f>
        <v>1374</v>
      </c>
      <c r="N67" s="356">
        <f>N63-N69</f>
        <v>56</v>
      </c>
      <c r="O67" s="542">
        <f>SUM(C67:N67)</f>
        <v>5376</v>
      </c>
      <c r="P67" s="574"/>
    </row>
    <row r="68" spans="1:16" s="539" customFormat="1" ht="15">
      <c r="A68" s="538" t="s">
        <v>488</v>
      </c>
      <c r="B68" s="538"/>
      <c r="C68" s="356"/>
      <c r="D68" s="478"/>
      <c r="E68" s="478"/>
      <c r="F68" s="478"/>
      <c r="G68" s="478"/>
      <c r="H68" s="478"/>
      <c r="I68" s="478"/>
      <c r="J68" s="356">
        <f>J61-J66</f>
        <v>937.9575180186491</v>
      </c>
      <c r="K68" s="356">
        <f>K61-K66</f>
        <v>916.5065562456866</v>
      </c>
      <c r="L68" s="356">
        <f>L61-L66</f>
        <v>941.1674268486952</v>
      </c>
      <c r="M68" s="356">
        <f>M61-M66</f>
        <v>911.4532397245702</v>
      </c>
      <c r="N68" s="356">
        <f>N61-N66</f>
        <v>745.1111526227577</v>
      </c>
      <c r="O68" s="542">
        <f>SUM(C68:N68)</f>
        <v>4452.195893460359</v>
      </c>
      <c r="P68" s="574"/>
    </row>
    <row r="69" spans="1:16" s="539" customFormat="1" ht="15">
      <c r="A69" s="538" t="s">
        <v>489</v>
      </c>
      <c r="B69" s="538"/>
      <c r="C69" s="356"/>
      <c r="D69" s="478"/>
      <c r="E69" s="478"/>
      <c r="F69" s="478"/>
      <c r="G69" s="478"/>
      <c r="H69" s="478"/>
      <c r="I69" s="478"/>
      <c r="J69" s="356">
        <f>ROUND(9*$F$62*J17,0)</f>
        <v>76</v>
      </c>
      <c r="K69" s="356">
        <f>ROUND(9*$F$62*K17,0)</f>
        <v>74</v>
      </c>
      <c r="L69" s="356">
        <f>ROUND(9*$F$62*L17,0)</f>
        <v>76</v>
      </c>
      <c r="M69" s="356">
        <f>ROUND(9*$F$62*M17,0)</f>
        <v>74</v>
      </c>
      <c r="N69" s="356">
        <f>ROUND(9*$F$62*N17,0)</f>
        <v>76</v>
      </c>
      <c r="O69" s="542">
        <f>SUM(C69:N69)</f>
        <v>376</v>
      </c>
      <c r="P69" s="574"/>
    </row>
    <row r="70" spans="1:16" s="539" customFormat="1" ht="15">
      <c r="A70" s="538" t="s">
        <v>534</v>
      </c>
      <c r="B70" s="538"/>
      <c r="C70" s="544">
        <v>0.413</v>
      </c>
      <c r="D70" s="544"/>
      <c r="E70" s="544"/>
      <c r="F70" s="544"/>
      <c r="G70" s="544"/>
      <c r="H70" s="544"/>
      <c r="I70" s="544"/>
      <c r="J70" s="478">
        <f>ROUND(J60/8/J17,0)</f>
        <v>111</v>
      </c>
      <c r="K70" s="478">
        <f>ROUND(K60/8/K17,0)</f>
        <v>39</v>
      </c>
      <c r="L70" s="478">
        <f>ROUND(L60/8/L17,0)</f>
        <v>75</v>
      </c>
      <c r="M70" s="478">
        <f>ROUND(M60/8/M17,0)</f>
        <v>90</v>
      </c>
      <c r="N70" s="478">
        <f>ROUND(N60/8/N17,0)</f>
        <v>90</v>
      </c>
      <c r="O70" s="545">
        <f>ROUND(AVERAGE(J70:N70),3)</f>
        <v>81</v>
      </c>
      <c r="P70" s="574"/>
    </row>
    <row r="71" spans="1:16" ht="8.25" customHeight="1">
      <c r="A71" s="377"/>
      <c r="B71" s="378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80"/>
      <c r="P71" s="574"/>
    </row>
    <row r="72" spans="1:16" ht="15">
      <c r="A72" s="351"/>
      <c r="C72" s="355"/>
      <c r="D72" s="355"/>
      <c r="E72" s="355"/>
      <c r="F72" s="355"/>
      <c r="G72" s="355"/>
      <c r="H72" s="355"/>
      <c r="I72" s="355"/>
      <c r="J72" s="355"/>
      <c r="K72" s="554">
        <v>0.0052</v>
      </c>
      <c r="L72" s="376" t="s">
        <v>527</v>
      </c>
      <c r="M72" s="376">
        <f>O72*K72</f>
        <v>525835.8144</v>
      </c>
      <c r="N72" s="376" t="s">
        <v>5</v>
      </c>
      <c r="O72" s="376">
        <f>ROUND((O18+O32+O45+O48)*1.1,0)</f>
        <v>101122272</v>
      </c>
      <c r="P72" s="574"/>
    </row>
    <row r="73" spans="1:16" s="539" customFormat="1" ht="15">
      <c r="A73" s="538"/>
      <c r="C73" s="478"/>
      <c r="D73" s="478"/>
      <c r="E73" s="478"/>
      <c r="F73" s="562" t="s">
        <v>638</v>
      </c>
      <c r="G73" s="563"/>
      <c r="H73" s="563"/>
      <c r="I73" s="478"/>
      <c r="J73" s="478"/>
      <c r="K73" s="540"/>
      <c r="L73" s="550" t="s">
        <v>637</v>
      </c>
      <c r="M73" s="550"/>
      <c r="N73" s="550"/>
      <c r="O73" s="550"/>
      <c r="P73" s="574"/>
    </row>
    <row r="74" spans="1:16" s="539" customFormat="1" ht="15">
      <c r="A74" s="538"/>
      <c r="C74" s="351" t="s">
        <v>270</v>
      </c>
      <c r="D74" s="351" t="s">
        <v>272</v>
      </c>
      <c r="E74" s="351" t="s">
        <v>273</v>
      </c>
      <c r="F74" s="351" t="s">
        <v>274</v>
      </c>
      <c r="G74" s="351" t="s">
        <v>275</v>
      </c>
      <c r="H74" s="351" t="s">
        <v>276</v>
      </c>
      <c r="I74" s="351" t="s">
        <v>277</v>
      </c>
      <c r="J74" s="351" t="s">
        <v>278</v>
      </c>
      <c r="K74" s="351" t="s">
        <v>279</v>
      </c>
      <c r="L74" s="351" t="s">
        <v>280</v>
      </c>
      <c r="M74" s="351" t="s">
        <v>281</v>
      </c>
      <c r="N74" s="351" t="s">
        <v>282</v>
      </c>
      <c r="O74" s="551">
        <v>1.1</v>
      </c>
      <c r="P74" s="574"/>
    </row>
    <row r="75" spans="1:16" s="539" customFormat="1" ht="15">
      <c r="A75" s="538"/>
      <c r="C75" s="351">
        <v>31</v>
      </c>
      <c r="D75" s="351">
        <v>28</v>
      </c>
      <c r="E75" s="351">
        <v>31</v>
      </c>
      <c r="F75" s="351">
        <v>30</v>
      </c>
      <c r="G75" s="351">
        <v>31</v>
      </c>
      <c r="H75" s="351">
        <v>30</v>
      </c>
      <c r="I75" s="351">
        <v>31</v>
      </c>
      <c r="J75" s="351">
        <v>31</v>
      </c>
      <c r="K75" s="351">
        <v>30</v>
      </c>
      <c r="L75" s="351">
        <v>31</v>
      </c>
      <c r="M75" s="351">
        <v>30</v>
      </c>
      <c r="N75" s="351">
        <v>31</v>
      </c>
      <c r="O75" s="541"/>
      <c r="P75" s="574"/>
    </row>
    <row r="76" spans="1:17" s="539" customFormat="1" ht="15">
      <c r="A76" s="351" t="s">
        <v>526</v>
      </c>
      <c r="B76" s="351"/>
      <c r="C76" s="570">
        <f>ROUND($Q$76/SUM($C$18:$N$18)*C18,0)+200</f>
        <v>11067497</v>
      </c>
      <c r="D76" s="478">
        <f aca="true" t="shared" si="7" ref="D76:N76">ROUND($Q$76/SUM($C$18:$N$18)*D18,0)</f>
        <v>10892181</v>
      </c>
      <c r="E76" s="478">
        <f t="shared" si="7"/>
        <v>11559229</v>
      </c>
      <c r="F76" s="478">
        <f t="shared" si="7"/>
        <v>8269484</v>
      </c>
      <c r="G76" s="478">
        <f t="shared" si="7"/>
        <v>5906814</v>
      </c>
      <c r="H76" s="478">
        <f t="shared" si="7"/>
        <v>5269351</v>
      </c>
      <c r="I76" s="478">
        <f t="shared" si="7"/>
        <v>4780834</v>
      </c>
      <c r="J76" s="478">
        <f t="shared" si="7"/>
        <v>5038614</v>
      </c>
      <c r="K76" s="478">
        <f t="shared" si="7"/>
        <v>5289206</v>
      </c>
      <c r="L76" s="478">
        <f t="shared" si="7"/>
        <v>8664226</v>
      </c>
      <c r="M76" s="478">
        <f t="shared" si="7"/>
        <v>9865182</v>
      </c>
      <c r="N76" s="478">
        <f t="shared" si="7"/>
        <v>12000308</v>
      </c>
      <c r="O76" s="541">
        <f aca="true" t="shared" si="8" ref="O76:O81">SUM(C76:N76)</f>
        <v>98602926</v>
      </c>
      <c r="P76" s="574"/>
      <c r="Q76" s="552">
        <f>O18*O74</f>
        <v>98602726.2</v>
      </c>
    </row>
    <row r="77" spans="1:17" s="539" customFormat="1" ht="15">
      <c r="A77" s="351" t="s">
        <v>474</v>
      </c>
      <c r="B77" s="351"/>
      <c r="C77" s="356">
        <f aca="true" t="shared" si="9" ref="C77:N77">ROUND($Q$77/SUM($C$18:$N$18)*C18,0)</f>
        <v>31141</v>
      </c>
      <c r="D77" s="356">
        <f t="shared" si="9"/>
        <v>30648</v>
      </c>
      <c r="E77" s="356">
        <f t="shared" si="9"/>
        <v>32525</v>
      </c>
      <c r="F77" s="356">
        <f t="shared" si="9"/>
        <v>23268</v>
      </c>
      <c r="G77" s="356">
        <f t="shared" si="9"/>
        <v>16620</v>
      </c>
      <c r="H77" s="356">
        <f t="shared" si="9"/>
        <v>14827</v>
      </c>
      <c r="I77" s="356">
        <f t="shared" si="9"/>
        <v>13452</v>
      </c>
      <c r="J77" s="356">
        <f t="shared" si="9"/>
        <v>14177</v>
      </c>
      <c r="K77" s="356">
        <f t="shared" si="9"/>
        <v>14882</v>
      </c>
      <c r="L77" s="356">
        <f t="shared" si="9"/>
        <v>24379</v>
      </c>
      <c r="M77" s="356">
        <f t="shared" si="9"/>
        <v>27758</v>
      </c>
      <c r="N77" s="356">
        <f t="shared" si="9"/>
        <v>33766</v>
      </c>
      <c r="O77" s="542">
        <f t="shared" si="8"/>
        <v>277443</v>
      </c>
      <c r="P77" s="574"/>
      <c r="Q77" s="552">
        <f>Q76-Q78</f>
        <v>277443.29656499624</v>
      </c>
    </row>
    <row r="78" spans="1:17" s="539" customFormat="1" ht="15">
      <c r="A78" s="351" t="s">
        <v>267</v>
      </c>
      <c r="B78" s="351"/>
      <c r="C78" s="356">
        <f>C76-C77</f>
        <v>11036356</v>
      </c>
      <c r="D78" s="356">
        <f aca="true" t="shared" si="10" ref="D78:N78">D76-D77</f>
        <v>10861533</v>
      </c>
      <c r="E78" s="356">
        <f t="shared" si="10"/>
        <v>11526704</v>
      </c>
      <c r="F78" s="356">
        <f t="shared" si="10"/>
        <v>8246216</v>
      </c>
      <c r="G78" s="356">
        <f t="shared" si="10"/>
        <v>5890194</v>
      </c>
      <c r="H78" s="356">
        <f t="shared" si="10"/>
        <v>5254524</v>
      </c>
      <c r="I78" s="356">
        <f t="shared" si="10"/>
        <v>4767382</v>
      </c>
      <c r="J78" s="356">
        <f t="shared" si="10"/>
        <v>5024437</v>
      </c>
      <c r="K78" s="356">
        <f t="shared" si="10"/>
        <v>5274324</v>
      </c>
      <c r="L78" s="356">
        <f t="shared" si="10"/>
        <v>8639847</v>
      </c>
      <c r="M78" s="356">
        <f t="shared" si="10"/>
        <v>9837424</v>
      </c>
      <c r="N78" s="356">
        <f t="shared" si="10"/>
        <v>11966542</v>
      </c>
      <c r="O78" s="542">
        <f t="shared" si="8"/>
        <v>98325483</v>
      </c>
      <c r="P78" s="574"/>
      <c r="Q78" s="569">
        <f>O20*(O74+0.000855)</f>
        <v>98325282.903435</v>
      </c>
    </row>
    <row r="79" spans="1:17" s="539" customFormat="1" ht="15">
      <c r="A79" s="351" t="s">
        <v>0</v>
      </c>
      <c r="B79" s="351"/>
      <c r="C79" s="565">
        <v>18750</v>
      </c>
      <c r="D79" s="565">
        <v>17712</v>
      </c>
      <c r="E79" s="565">
        <v>20798</v>
      </c>
      <c r="F79" s="565">
        <v>12275</v>
      </c>
      <c r="G79" s="565">
        <v>15380</v>
      </c>
      <c r="H79" s="565">
        <v>2968</v>
      </c>
      <c r="I79" s="565">
        <v>2839</v>
      </c>
      <c r="J79" s="565">
        <v>3049</v>
      </c>
      <c r="K79" s="565">
        <v>3997</v>
      </c>
      <c r="L79" s="565">
        <v>9294</v>
      </c>
      <c r="M79" s="565">
        <v>13522</v>
      </c>
      <c r="N79" s="565">
        <v>18470</v>
      </c>
      <c r="O79" s="566">
        <f t="shared" si="8"/>
        <v>139054</v>
      </c>
      <c r="P79" s="574"/>
      <c r="Q79" s="552"/>
    </row>
    <row r="80" spans="1:18" s="539" customFormat="1" ht="15">
      <c r="A80" s="351" t="s">
        <v>490</v>
      </c>
      <c r="B80" s="351"/>
      <c r="C80" s="356">
        <f>C86+C84</f>
        <v>20058</v>
      </c>
      <c r="D80" s="356">
        <f aca="true" t="shared" si="11" ref="D80:N80">D86+D84</f>
        <v>18893</v>
      </c>
      <c r="E80" s="356">
        <f t="shared" si="11"/>
        <v>22106</v>
      </c>
      <c r="F80" s="356">
        <f t="shared" si="11"/>
        <v>13538</v>
      </c>
      <c r="G80" s="356">
        <f t="shared" si="11"/>
        <v>16683</v>
      </c>
      <c r="H80" s="356">
        <f t="shared" si="11"/>
        <v>4228</v>
      </c>
      <c r="I80" s="356">
        <f t="shared" si="11"/>
        <v>4141</v>
      </c>
      <c r="J80" s="356">
        <f t="shared" si="11"/>
        <v>4351</v>
      </c>
      <c r="K80" s="356">
        <f t="shared" si="11"/>
        <v>5257</v>
      </c>
      <c r="L80" s="356">
        <f t="shared" si="11"/>
        <v>10599</v>
      </c>
      <c r="M80" s="356">
        <f t="shared" si="11"/>
        <v>14786</v>
      </c>
      <c r="N80" s="356">
        <f t="shared" si="11"/>
        <v>19778</v>
      </c>
      <c r="O80" s="542">
        <f t="shared" si="8"/>
        <v>154418</v>
      </c>
      <c r="P80" s="574"/>
      <c r="Q80" s="552"/>
      <c r="R80" s="478"/>
    </row>
    <row r="81" spans="1:17" s="539" customFormat="1" ht="15">
      <c r="A81" s="351" t="s">
        <v>476</v>
      </c>
      <c r="B81" s="351"/>
      <c r="C81" s="478">
        <f>C78-C80</f>
        <v>11016298</v>
      </c>
      <c r="D81" s="478">
        <f aca="true" t="shared" si="12" ref="D81:N81">D78-D80</f>
        <v>10842640</v>
      </c>
      <c r="E81" s="478">
        <f t="shared" si="12"/>
        <v>11504598</v>
      </c>
      <c r="F81" s="478">
        <f t="shared" si="12"/>
        <v>8232678</v>
      </c>
      <c r="G81" s="478">
        <f t="shared" si="12"/>
        <v>5873511</v>
      </c>
      <c r="H81" s="478">
        <f t="shared" si="12"/>
        <v>5250296</v>
      </c>
      <c r="I81" s="478">
        <f t="shared" si="12"/>
        <v>4763241</v>
      </c>
      <c r="J81" s="478">
        <f t="shared" si="12"/>
        <v>5020086</v>
      </c>
      <c r="K81" s="478">
        <f t="shared" si="12"/>
        <v>5269067</v>
      </c>
      <c r="L81" s="478">
        <f t="shared" si="12"/>
        <v>8629248</v>
      </c>
      <c r="M81" s="478">
        <f t="shared" si="12"/>
        <v>9822638</v>
      </c>
      <c r="N81" s="478">
        <f t="shared" si="12"/>
        <v>11946764</v>
      </c>
      <c r="O81" s="541">
        <f t="shared" si="8"/>
        <v>98171065</v>
      </c>
      <c r="P81" s="574"/>
      <c r="Q81" s="552"/>
    </row>
    <row r="82" spans="1:16" s="539" customFormat="1" ht="15">
      <c r="A82" s="351"/>
      <c r="B82" s="351"/>
      <c r="C82" s="478"/>
      <c r="D82" s="478"/>
      <c r="E82" s="478"/>
      <c r="F82" s="478"/>
      <c r="G82" s="478"/>
      <c r="H82" s="478"/>
      <c r="I82" s="478"/>
      <c r="J82" s="478"/>
      <c r="K82" s="478"/>
      <c r="L82" s="478"/>
      <c r="M82" s="478"/>
      <c r="N82" s="478"/>
      <c r="O82" s="541"/>
      <c r="P82" s="574"/>
    </row>
    <row r="83" spans="1:17" s="539" customFormat="1" ht="15">
      <c r="A83" s="351" t="s">
        <v>484</v>
      </c>
      <c r="B83" s="351"/>
      <c r="C83" s="356">
        <f>ROUND($Q$83/$Q$76*C76,0)</f>
        <v>10249</v>
      </c>
      <c r="D83" s="356">
        <f aca="true" t="shared" si="13" ref="D83:N83">ROUND($Q$83/$Q$76*D76,0)</f>
        <v>10086</v>
      </c>
      <c r="E83" s="356">
        <f t="shared" si="13"/>
        <v>10704</v>
      </c>
      <c r="F83" s="356">
        <f t="shared" si="13"/>
        <v>7658</v>
      </c>
      <c r="G83" s="356">
        <f t="shared" si="13"/>
        <v>5470</v>
      </c>
      <c r="H83" s="356">
        <f t="shared" si="13"/>
        <v>4879</v>
      </c>
      <c r="I83" s="356">
        <f t="shared" si="13"/>
        <v>4427</v>
      </c>
      <c r="J83" s="356">
        <f t="shared" si="13"/>
        <v>4666</v>
      </c>
      <c r="K83" s="356">
        <f t="shared" si="13"/>
        <v>4898</v>
      </c>
      <c r="L83" s="356">
        <f t="shared" si="13"/>
        <v>8023</v>
      </c>
      <c r="M83" s="356">
        <f t="shared" si="13"/>
        <v>9135</v>
      </c>
      <c r="N83" s="356">
        <f t="shared" si="13"/>
        <v>11112</v>
      </c>
      <c r="O83" s="542">
        <f>SUM(C83:N83)</f>
        <v>91307</v>
      </c>
      <c r="P83" s="574"/>
      <c r="Q83" s="553">
        <f>Q77-Q85</f>
        <v>91306.30894601205</v>
      </c>
    </row>
    <row r="84" spans="1:17" s="539" customFormat="1" ht="15">
      <c r="A84" s="351" t="s">
        <v>485</v>
      </c>
      <c r="B84" s="351"/>
      <c r="C84" s="356">
        <f>ROUND($Q$84/$Q$76*C76,0)</f>
        <v>11</v>
      </c>
      <c r="D84" s="356">
        <f aca="true" t="shared" si="14" ref="D84:N84">ROUND($Q$84/$Q$76*D76,0)</f>
        <v>10</v>
      </c>
      <c r="E84" s="356">
        <f t="shared" si="14"/>
        <v>11</v>
      </c>
      <c r="F84" s="356">
        <f t="shared" si="14"/>
        <v>8</v>
      </c>
      <c r="G84" s="356">
        <f t="shared" si="14"/>
        <v>6</v>
      </c>
      <c r="H84" s="356">
        <f t="shared" si="14"/>
        <v>5</v>
      </c>
      <c r="I84" s="356">
        <f t="shared" si="14"/>
        <v>5</v>
      </c>
      <c r="J84" s="356">
        <f t="shared" si="14"/>
        <v>5</v>
      </c>
      <c r="K84" s="356">
        <f t="shared" si="14"/>
        <v>5</v>
      </c>
      <c r="L84" s="356">
        <f t="shared" si="14"/>
        <v>8</v>
      </c>
      <c r="M84" s="356">
        <f t="shared" si="14"/>
        <v>9</v>
      </c>
      <c r="N84" s="356">
        <f t="shared" si="14"/>
        <v>11</v>
      </c>
      <c r="O84" s="542">
        <f>SUM(C84:N84)</f>
        <v>94</v>
      </c>
      <c r="P84" s="574"/>
      <c r="Q84" s="569">
        <f>O26*(O74+0.1)</f>
        <v>94.2856334973887</v>
      </c>
    </row>
    <row r="85" spans="1:17" s="539" customFormat="1" ht="15">
      <c r="A85" s="351" t="s">
        <v>487</v>
      </c>
      <c r="B85" s="351"/>
      <c r="C85" s="356">
        <f>ROUND($Q$85/SUM($C$75:$N$75)*C75,0)</f>
        <v>15809</v>
      </c>
      <c r="D85" s="356">
        <f aca="true" t="shared" si="15" ref="D85:N85">ROUND($Q$85/SUM($C$75:$N$75)*D75,0)</f>
        <v>14279</v>
      </c>
      <c r="E85" s="356">
        <f t="shared" si="15"/>
        <v>15809</v>
      </c>
      <c r="F85" s="356">
        <f t="shared" si="15"/>
        <v>15299</v>
      </c>
      <c r="G85" s="356">
        <f t="shared" si="15"/>
        <v>15809</v>
      </c>
      <c r="H85" s="356">
        <f t="shared" si="15"/>
        <v>15299</v>
      </c>
      <c r="I85" s="356">
        <f t="shared" si="15"/>
        <v>15809</v>
      </c>
      <c r="J85" s="356">
        <f t="shared" si="15"/>
        <v>15809</v>
      </c>
      <c r="K85" s="356">
        <f t="shared" si="15"/>
        <v>15299</v>
      </c>
      <c r="L85" s="356">
        <f t="shared" si="15"/>
        <v>15809</v>
      </c>
      <c r="M85" s="356">
        <f t="shared" si="15"/>
        <v>15299</v>
      </c>
      <c r="N85" s="356">
        <f t="shared" si="15"/>
        <v>15809</v>
      </c>
      <c r="O85" s="542">
        <f>SUM(C85:N85)</f>
        <v>186138</v>
      </c>
      <c r="P85" s="574"/>
      <c r="Q85" s="570">
        <f>O27*0.7</f>
        <v>186136.9876189842</v>
      </c>
    </row>
    <row r="86" spans="1:17" s="539" customFormat="1" ht="15">
      <c r="A86" s="351" t="s">
        <v>488</v>
      </c>
      <c r="B86" s="351"/>
      <c r="C86" s="356">
        <f>ROUND($Q$86/SUM($C$75:$N$75)*C75,0)+C79</f>
        <v>20047</v>
      </c>
      <c r="D86" s="356">
        <f aca="true" t="shared" si="16" ref="D86:N86">ROUND($Q$86/SUM($C$75:$N$75)*D75,0)+D79</f>
        <v>18883</v>
      </c>
      <c r="E86" s="356">
        <f t="shared" si="16"/>
        <v>22095</v>
      </c>
      <c r="F86" s="356">
        <f t="shared" si="16"/>
        <v>13530</v>
      </c>
      <c r="G86" s="356">
        <f t="shared" si="16"/>
        <v>16677</v>
      </c>
      <c r="H86" s="356">
        <f t="shared" si="16"/>
        <v>4223</v>
      </c>
      <c r="I86" s="356">
        <f t="shared" si="16"/>
        <v>4136</v>
      </c>
      <c r="J86" s="356">
        <f t="shared" si="16"/>
        <v>4346</v>
      </c>
      <c r="K86" s="356">
        <f t="shared" si="16"/>
        <v>5252</v>
      </c>
      <c r="L86" s="356">
        <f t="shared" si="16"/>
        <v>10591</v>
      </c>
      <c r="M86" s="356">
        <f t="shared" si="16"/>
        <v>14777</v>
      </c>
      <c r="N86" s="356">
        <f t="shared" si="16"/>
        <v>19767</v>
      </c>
      <c r="O86" s="542">
        <f>SUM(C86:N86)</f>
        <v>154324</v>
      </c>
      <c r="P86" s="574"/>
      <c r="Q86" s="570">
        <f>O28*0.8</f>
        <v>15268.763063721484</v>
      </c>
    </row>
    <row r="87" spans="1:17" s="539" customFormat="1" ht="15">
      <c r="A87" s="351" t="s">
        <v>534</v>
      </c>
      <c r="B87" s="351"/>
      <c r="C87" s="544">
        <f aca="true" t="shared" si="17" ref="C87:N87">C29</f>
        <v>19.077</v>
      </c>
      <c r="D87" s="544">
        <f t="shared" si="17"/>
        <v>16.977</v>
      </c>
      <c r="E87" s="544">
        <f t="shared" si="17"/>
        <v>15.123</v>
      </c>
      <c r="F87" s="544">
        <f t="shared" si="17"/>
        <v>14.268</v>
      </c>
      <c r="G87" s="544">
        <f t="shared" si="17"/>
        <v>12.333</v>
      </c>
      <c r="H87" s="544">
        <f t="shared" si="17"/>
        <v>11.733</v>
      </c>
      <c r="I87" s="544">
        <f t="shared" si="17"/>
        <v>8.481</v>
      </c>
      <c r="J87" s="544">
        <f t="shared" si="17"/>
        <v>9.174</v>
      </c>
      <c r="K87" s="544">
        <f t="shared" si="17"/>
        <v>11.445</v>
      </c>
      <c r="L87" s="544">
        <f t="shared" si="17"/>
        <v>14.829</v>
      </c>
      <c r="M87" s="544">
        <f t="shared" si="17"/>
        <v>15.453</v>
      </c>
      <c r="N87" s="544">
        <f t="shared" si="17"/>
        <v>17.388</v>
      </c>
      <c r="O87" s="545">
        <f>ROUND(AVERAGE(C87:N87),3)</f>
        <v>13.857</v>
      </c>
      <c r="P87" s="574"/>
      <c r="Q87" s="552"/>
    </row>
    <row r="88" spans="1:16" s="539" customFormat="1" ht="15">
      <c r="A88" s="351"/>
      <c r="B88" s="351"/>
      <c r="C88" s="567"/>
      <c r="D88" s="478"/>
      <c r="E88" s="478"/>
      <c r="F88" s="478"/>
      <c r="G88" s="478"/>
      <c r="H88" s="478"/>
      <c r="I88" s="478"/>
      <c r="J88" s="478"/>
      <c r="K88" s="540"/>
      <c r="L88" s="541"/>
      <c r="M88" s="541"/>
      <c r="N88" s="541"/>
      <c r="O88" s="541"/>
      <c r="P88" s="574"/>
    </row>
    <row r="89" spans="1:16" s="539" customFormat="1" ht="15">
      <c r="A89" s="351"/>
      <c r="B89" s="351"/>
      <c r="C89" s="478"/>
      <c r="D89" s="478"/>
      <c r="E89" s="478"/>
      <c r="F89" s="562">
        <v>2020</v>
      </c>
      <c r="G89" s="562" t="s">
        <v>477</v>
      </c>
      <c r="H89" s="478"/>
      <c r="I89" s="478"/>
      <c r="J89" s="478"/>
      <c r="K89" s="540"/>
      <c r="L89" s="541"/>
      <c r="M89" s="541"/>
      <c r="N89" s="541"/>
      <c r="O89" s="541"/>
      <c r="P89" s="574"/>
    </row>
    <row r="90" spans="1:17" s="539" customFormat="1" ht="15">
      <c r="A90" s="351" t="s">
        <v>478</v>
      </c>
      <c r="B90" s="351"/>
      <c r="C90" s="356">
        <f aca="true" t="shared" si="18" ref="C90:N90">C32</f>
        <v>72147</v>
      </c>
      <c r="D90" s="356">
        <f t="shared" si="18"/>
        <v>45562</v>
      </c>
      <c r="E90" s="356">
        <f t="shared" si="18"/>
        <v>79289</v>
      </c>
      <c r="F90" s="356">
        <f t="shared" si="18"/>
        <v>42507</v>
      </c>
      <c r="G90" s="356">
        <f t="shared" si="18"/>
        <v>16768</v>
      </c>
      <c r="H90" s="356">
        <f t="shared" si="18"/>
        <v>16274</v>
      </c>
      <c r="I90" s="356">
        <f t="shared" si="18"/>
        <v>14100</v>
      </c>
      <c r="J90" s="356">
        <f t="shared" si="18"/>
        <v>11177</v>
      </c>
      <c r="K90" s="356">
        <f t="shared" si="18"/>
        <v>26927</v>
      </c>
      <c r="L90" s="356">
        <f t="shared" si="18"/>
        <v>25022</v>
      </c>
      <c r="M90" s="356">
        <f t="shared" si="18"/>
        <v>13829</v>
      </c>
      <c r="N90" s="356">
        <f t="shared" si="18"/>
        <v>15591</v>
      </c>
      <c r="O90" s="542">
        <f>SUM(C90:N90)</f>
        <v>379193</v>
      </c>
      <c r="P90" s="574"/>
      <c r="Q90" s="552"/>
    </row>
    <row r="91" spans="1:17" s="539" customFormat="1" ht="15">
      <c r="A91" s="351" t="s">
        <v>475</v>
      </c>
      <c r="B91" s="351"/>
      <c r="C91" s="356">
        <f aca="true" t="shared" si="19" ref="C91:N91">C33</f>
        <v>888</v>
      </c>
      <c r="D91" s="356">
        <f t="shared" si="19"/>
        <v>711</v>
      </c>
      <c r="E91" s="356">
        <f t="shared" si="19"/>
        <v>1640</v>
      </c>
      <c r="F91" s="356">
        <f t="shared" si="19"/>
        <v>909</v>
      </c>
      <c r="G91" s="356">
        <f t="shared" si="19"/>
        <v>387</v>
      </c>
      <c r="H91" s="356">
        <f t="shared" si="19"/>
        <v>381</v>
      </c>
      <c r="I91" s="356">
        <f t="shared" si="19"/>
        <v>303</v>
      </c>
      <c r="J91" s="356">
        <f t="shared" si="19"/>
        <v>213</v>
      </c>
      <c r="K91" s="356">
        <f t="shared" si="19"/>
        <v>345</v>
      </c>
      <c r="L91" s="356">
        <f t="shared" si="19"/>
        <v>314</v>
      </c>
      <c r="M91" s="356">
        <f t="shared" si="19"/>
        <v>176</v>
      </c>
      <c r="N91" s="356">
        <f t="shared" si="19"/>
        <v>202</v>
      </c>
      <c r="O91" s="542">
        <f aca="true" t="shared" si="20" ref="O91:O100">SUM(C91:N91)</f>
        <v>6469</v>
      </c>
      <c r="P91" s="574"/>
      <c r="Q91" s="552"/>
    </row>
    <row r="92" spans="1:17" s="539" customFormat="1" ht="15">
      <c r="A92" s="351" t="s">
        <v>479</v>
      </c>
      <c r="B92" s="351"/>
      <c r="C92" s="478">
        <f aca="true" t="shared" si="21" ref="C92:N92">C34</f>
        <v>71259</v>
      </c>
      <c r="D92" s="478">
        <f t="shared" si="21"/>
        <v>44851</v>
      </c>
      <c r="E92" s="478">
        <f t="shared" si="21"/>
        <v>77649</v>
      </c>
      <c r="F92" s="478">
        <f t="shared" si="21"/>
        <v>41598</v>
      </c>
      <c r="G92" s="478">
        <f t="shared" si="21"/>
        <v>16381</v>
      </c>
      <c r="H92" s="478">
        <f t="shared" si="21"/>
        <v>15893</v>
      </c>
      <c r="I92" s="478">
        <f t="shared" si="21"/>
        <v>13797</v>
      </c>
      <c r="J92" s="478">
        <f t="shared" si="21"/>
        <v>10964</v>
      </c>
      <c r="K92" s="478">
        <f t="shared" si="21"/>
        <v>26582</v>
      </c>
      <c r="L92" s="478">
        <f t="shared" si="21"/>
        <v>24708</v>
      </c>
      <c r="M92" s="478">
        <f t="shared" si="21"/>
        <v>13653</v>
      </c>
      <c r="N92" s="478">
        <f t="shared" si="21"/>
        <v>15389</v>
      </c>
      <c r="O92" s="541">
        <f t="shared" si="20"/>
        <v>372724</v>
      </c>
      <c r="P92" s="574"/>
      <c r="Q92" s="553"/>
    </row>
    <row r="93" spans="1:17" s="539" customFormat="1" ht="15">
      <c r="A93" s="351" t="s">
        <v>480</v>
      </c>
      <c r="B93" s="351"/>
      <c r="C93" s="356">
        <f aca="true" t="shared" si="22" ref="C93:N93">C35</f>
        <v>1202</v>
      </c>
      <c r="D93" s="356">
        <f t="shared" si="22"/>
        <v>139</v>
      </c>
      <c r="E93" s="356">
        <f t="shared" si="22"/>
        <v>254</v>
      </c>
      <c r="F93" s="356">
        <f t="shared" si="22"/>
        <v>135</v>
      </c>
      <c r="G93" s="356">
        <f t="shared" si="22"/>
        <v>55</v>
      </c>
      <c r="H93" s="356">
        <f t="shared" si="22"/>
        <v>42</v>
      </c>
      <c r="I93" s="356">
        <f t="shared" si="22"/>
        <v>45</v>
      </c>
      <c r="J93" s="356">
        <f t="shared" si="22"/>
        <v>35</v>
      </c>
      <c r="K93" s="356">
        <f t="shared" si="22"/>
        <v>80</v>
      </c>
      <c r="L93" s="356">
        <f t="shared" si="22"/>
        <v>76</v>
      </c>
      <c r="M93" s="356">
        <f t="shared" si="22"/>
        <v>41</v>
      </c>
      <c r="N93" s="356">
        <f t="shared" si="22"/>
        <v>45</v>
      </c>
      <c r="O93" s="542">
        <f t="shared" si="20"/>
        <v>2149</v>
      </c>
      <c r="P93" s="574"/>
      <c r="Q93" s="552"/>
    </row>
    <row r="94" spans="1:17" s="539" customFormat="1" ht="15">
      <c r="A94" s="351" t="s">
        <v>481</v>
      </c>
      <c r="B94" s="351"/>
      <c r="C94" s="356">
        <f aca="true" t="shared" si="23" ref="C94:N94">C36</f>
        <v>70057</v>
      </c>
      <c r="D94" s="356">
        <f t="shared" si="23"/>
        <v>44712</v>
      </c>
      <c r="E94" s="356">
        <f t="shared" si="23"/>
        <v>77395</v>
      </c>
      <c r="F94" s="356">
        <f t="shared" si="23"/>
        <v>41463</v>
      </c>
      <c r="G94" s="356">
        <f t="shared" si="23"/>
        <v>16326</v>
      </c>
      <c r="H94" s="356">
        <f t="shared" si="23"/>
        <v>15851</v>
      </c>
      <c r="I94" s="356">
        <f t="shared" si="23"/>
        <v>13752</v>
      </c>
      <c r="J94" s="356">
        <f t="shared" si="23"/>
        <v>10929</v>
      </c>
      <c r="K94" s="356">
        <f t="shared" si="23"/>
        <v>26502</v>
      </c>
      <c r="L94" s="356">
        <f t="shared" si="23"/>
        <v>24632</v>
      </c>
      <c r="M94" s="356">
        <f t="shared" si="23"/>
        <v>13612</v>
      </c>
      <c r="N94" s="356">
        <f t="shared" si="23"/>
        <v>15344</v>
      </c>
      <c r="O94" s="542">
        <f t="shared" si="20"/>
        <v>370575</v>
      </c>
      <c r="P94" s="574"/>
      <c r="Q94" s="552"/>
    </row>
    <row r="95" spans="1:17" s="539" customFormat="1" ht="15">
      <c r="A95" s="351"/>
      <c r="B95" s="351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542"/>
      <c r="P95" s="574"/>
      <c r="Q95" s="552"/>
    </row>
    <row r="96" spans="1:17" s="539" customFormat="1" ht="15">
      <c r="A96" s="351" t="s">
        <v>485</v>
      </c>
      <c r="B96" s="351"/>
      <c r="C96" s="356">
        <f aca="true" t="shared" si="24" ref="C96:N96">C38</f>
        <v>217</v>
      </c>
      <c r="D96" s="356">
        <f t="shared" si="24"/>
        <v>107</v>
      </c>
      <c r="E96" s="356">
        <f t="shared" si="24"/>
        <v>397</v>
      </c>
      <c r="F96" s="356">
        <f t="shared" si="24"/>
        <v>119</v>
      </c>
      <c r="G96" s="356">
        <f t="shared" si="24"/>
        <v>6</v>
      </c>
      <c r="H96" s="356">
        <f t="shared" si="24"/>
        <v>8</v>
      </c>
      <c r="I96" s="356">
        <f t="shared" si="24"/>
        <v>5</v>
      </c>
      <c r="J96" s="356">
        <f t="shared" si="24"/>
        <v>2</v>
      </c>
      <c r="K96" s="356">
        <f t="shared" si="24"/>
        <v>32</v>
      </c>
      <c r="L96" s="356">
        <f t="shared" si="24"/>
        <v>28</v>
      </c>
      <c r="M96" s="356">
        <f t="shared" si="24"/>
        <v>4</v>
      </c>
      <c r="N96" s="356">
        <f t="shared" si="24"/>
        <v>5</v>
      </c>
      <c r="O96" s="542">
        <f t="shared" si="20"/>
        <v>930</v>
      </c>
      <c r="P96" s="574"/>
      <c r="Q96" s="552"/>
    </row>
    <row r="97" spans="1:17" s="539" customFormat="1" ht="15">
      <c r="A97" s="351" t="s">
        <v>486</v>
      </c>
      <c r="B97" s="351"/>
      <c r="C97" s="356">
        <f aca="true" t="shared" si="25" ref="C97:N97">C39</f>
        <v>1201.3940854325133</v>
      </c>
      <c r="D97" s="356">
        <f t="shared" si="25"/>
        <v>138.66233651114462</v>
      </c>
      <c r="E97" s="356">
        <f t="shared" si="25"/>
        <v>253.7315258183178</v>
      </c>
      <c r="F97" s="356">
        <f t="shared" si="25"/>
        <v>134.86084915617803</v>
      </c>
      <c r="G97" s="356">
        <f t="shared" si="25"/>
        <v>54.41206018177388</v>
      </c>
      <c r="H97" s="356">
        <f t="shared" si="25"/>
        <v>41.97133949095141</v>
      </c>
      <c r="I97" s="356">
        <f t="shared" si="25"/>
        <v>45.2928508067847</v>
      </c>
      <c r="J97" s="356">
        <f t="shared" si="25"/>
        <v>35.270695174723244</v>
      </c>
      <c r="K97" s="356">
        <f t="shared" si="25"/>
        <v>80.07575792403158</v>
      </c>
      <c r="L97" s="356">
        <f t="shared" si="25"/>
        <v>75.82348160626688</v>
      </c>
      <c r="M97" s="356">
        <f t="shared" si="25"/>
        <v>40.65461627727423</v>
      </c>
      <c r="N97" s="356">
        <f t="shared" si="25"/>
        <v>45.20600929809483</v>
      </c>
      <c r="O97" s="542">
        <f t="shared" si="20"/>
        <v>2147.355607678054</v>
      </c>
      <c r="P97" s="574"/>
      <c r="Q97" s="552"/>
    </row>
    <row r="98" spans="1:17" s="539" customFormat="1" ht="15">
      <c r="A98" s="351" t="s">
        <v>488</v>
      </c>
      <c r="B98" s="351"/>
      <c r="C98" s="356">
        <f aca="true" t="shared" si="26" ref="C98:N98">C40</f>
        <v>670.866483414061</v>
      </c>
      <c r="D98" s="356">
        <f t="shared" si="26"/>
        <v>604.5489707708269</v>
      </c>
      <c r="E98" s="356">
        <f t="shared" si="26"/>
        <v>1242.9243565017932</v>
      </c>
      <c r="F98" s="356">
        <f t="shared" si="26"/>
        <v>789.7903734141473</v>
      </c>
      <c r="G98" s="356">
        <f t="shared" si="26"/>
        <v>381.2532713344281</v>
      </c>
      <c r="H98" s="356">
        <f t="shared" si="26"/>
        <v>373.30409102946885</v>
      </c>
      <c r="I98" s="356">
        <f t="shared" si="26"/>
        <v>297.5679110091121</v>
      </c>
      <c r="J98" s="356">
        <f t="shared" si="26"/>
        <v>210.30663230705272</v>
      </c>
      <c r="K98" s="356">
        <f t="shared" si="26"/>
        <v>312.4229618054232</v>
      </c>
      <c r="L98" s="356">
        <f t="shared" si="26"/>
        <v>286.5968070568195</v>
      </c>
      <c r="M98" s="356">
        <f t="shared" si="26"/>
        <v>172.512158151031</v>
      </c>
      <c r="N98" s="356">
        <f t="shared" si="26"/>
        <v>196.71885021431243</v>
      </c>
      <c r="O98" s="542">
        <f t="shared" si="20"/>
        <v>5538.812867008477</v>
      </c>
      <c r="P98" s="574"/>
      <c r="Q98" s="552"/>
    </row>
    <row r="99" spans="1:17" s="539" customFormat="1" ht="15">
      <c r="A99" s="351" t="s">
        <v>489</v>
      </c>
      <c r="B99" s="351"/>
      <c r="C99" s="356">
        <f aca="true" t="shared" si="27" ref="C99:N99">C41</f>
        <v>0.24591456748606835</v>
      </c>
      <c r="D99" s="356">
        <f t="shared" si="27"/>
        <v>0.01766348885568709</v>
      </c>
      <c r="E99" s="356">
        <f t="shared" si="27"/>
        <v>0.028474181633296614</v>
      </c>
      <c r="F99" s="356">
        <f t="shared" si="27"/>
        <v>0.07915084385339961</v>
      </c>
      <c r="G99" s="356">
        <f t="shared" si="27"/>
        <v>0.18793981821193353</v>
      </c>
      <c r="H99" s="356">
        <f t="shared" si="27"/>
        <v>0.12866050905259657</v>
      </c>
      <c r="I99" s="356">
        <f t="shared" si="27"/>
        <v>0.15714919319966375</v>
      </c>
      <c r="J99" s="356">
        <f t="shared" si="27"/>
        <v>0.1293048252673039</v>
      </c>
      <c r="K99" s="356">
        <f t="shared" si="27"/>
        <v>0.024242075999714698</v>
      </c>
      <c r="L99" s="356">
        <f t="shared" si="27"/>
        <v>0.026518393757133295</v>
      </c>
      <c r="M99" s="356">
        <f t="shared" si="27"/>
        <v>0.04538372274286893</v>
      </c>
      <c r="N99" s="356">
        <f t="shared" si="27"/>
        <v>0.04399070191063092</v>
      </c>
      <c r="O99" s="542">
        <f t="shared" si="20"/>
        <v>1.1143923219702974</v>
      </c>
      <c r="P99" s="574"/>
      <c r="Q99" s="552"/>
    </row>
    <row r="100" spans="1:17" s="539" customFormat="1" ht="15">
      <c r="A100" s="351" t="s">
        <v>534</v>
      </c>
      <c r="B100" s="351"/>
      <c r="C100" s="544">
        <f aca="true" t="shared" si="28" ref="C100:N100">C42</f>
        <v>0.413</v>
      </c>
      <c r="D100" s="544">
        <f t="shared" si="28"/>
        <v>0.237</v>
      </c>
      <c r="E100" s="544">
        <f t="shared" si="28"/>
        <v>0.414</v>
      </c>
      <c r="F100" s="544">
        <f t="shared" si="28"/>
        <v>0.402</v>
      </c>
      <c r="G100" s="544">
        <f t="shared" si="28"/>
        <v>0.088</v>
      </c>
      <c r="H100" s="544">
        <f t="shared" si="28"/>
        <v>0.246</v>
      </c>
      <c r="I100" s="544">
        <f t="shared" si="28"/>
        <v>0.186</v>
      </c>
      <c r="J100" s="544">
        <f t="shared" si="28"/>
        <v>0.144</v>
      </c>
      <c r="K100" s="544">
        <f t="shared" si="28"/>
        <v>0.204</v>
      </c>
      <c r="L100" s="544">
        <f t="shared" si="28"/>
        <v>0.224</v>
      </c>
      <c r="M100" s="544">
        <f t="shared" si="28"/>
        <v>0.077</v>
      </c>
      <c r="N100" s="544">
        <f t="shared" si="28"/>
        <v>0.14</v>
      </c>
      <c r="O100" s="555">
        <f t="shared" si="20"/>
        <v>2.7750000000000004</v>
      </c>
      <c r="P100" s="574"/>
      <c r="Q100" s="552"/>
    </row>
    <row r="101" spans="1:16" s="539" customFormat="1" ht="15">
      <c r="A101" s="351"/>
      <c r="B101" s="351"/>
      <c r="C101" s="478"/>
      <c r="D101" s="478"/>
      <c r="E101" s="478"/>
      <c r="F101" s="478"/>
      <c r="G101" s="478"/>
      <c r="H101" s="478"/>
      <c r="I101" s="478"/>
      <c r="J101" s="478"/>
      <c r="K101" s="540"/>
      <c r="L101" s="541"/>
      <c r="M101" s="541"/>
      <c r="N101" s="541"/>
      <c r="O101" s="541"/>
      <c r="P101" s="574"/>
    </row>
    <row r="102" spans="1:16" s="539" customFormat="1" ht="15">
      <c r="A102" s="350"/>
      <c r="B102" s="350"/>
      <c r="C102" s="478"/>
      <c r="D102" s="478"/>
      <c r="E102" s="478"/>
      <c r="F102" s="562">
        <v>2020</v>
      </c>
      <c r="G102" s="562" t="s">
        <v>482</v>
      </c>
      <c r="H102" s="478"/>
      <c r="I102" s="478"/>
      <c r="J102" s="478"/>
      <c r="K102" s="540"/>
      <c r="L102" s="541"/>
      <c r="M102" s="541"/>
      <c r="N102" s="541"/>
      <c r="O102" s="541"/>
      <c r="P102" s="574"/>
    </row>
    <row r="103" spans="1:17" s="539" customFormat="1" ht="15">
      <c r="A103" s="351" t="s">
        <v>478</v>
      </c>
      <c r="B103" s="350"/>
      <c r="C103" s="356">
        <f aca="true" t="shared" si="29" ref="C103:N103">ROUND($Q$103/$O$45*C45,0)</f>
        <v>170898</v>
      </c>
      <c r="D103" s="356">
        <f t="shared" si="29"/>
        <v>88065</v>
      </c>
      <c r="E103" s="356">
        <f t="shared" si="29"/>
        <v>91880</v>
      </c>
      <c r="F103" s="356">
        <f t="shared" si="29"/>
        <v>92381</v>
      </c>
      <c r="G103" s="356">
        <f t="shared" si="29"/>
        <v>116157</v>
      </c>
      <c r="H103" s="356">
        <f t="shared" si="29"/>
        <v>58566</v>
      </c>
      <c r="I103" s="356">
        <f t="shared" si="29"/>
        <v>63666</v>
      </c>
      <c r="J103" s="356">
        <f t="shared" si="29"/>
        <v>68911</v>
      </c>
      <c r="K103" s="356">
        <f t="shared" si="29"/>
        <v>76720</v>
      </c>
      <c r="L103" s="356">
        <f t="shared" si="29"/>
        <v>103480</v>
      </c>
      <c r="M103" s="356">
        <f t="shared" si="29"/>
        <v>128167</v>
      </c>
      <c r="N103" s="356">
        <f t="shared" si="29"/>
        <v>167592</v>
      </c>
      <c r="O103" s="542">
        <f aca="true" t="shared" si="30" ref="O103:O110">SUM(C103:N103)</f>
        <v>1226483</v>
      </c>
      <c r="P103" s="574"/>
      <c r="Q103" s="552">
        <f>O45*O74</f>
        <v>1226481.3</v>
      </c>
    </row>
    <row r="104" spans="1:17" s="539" customFormat="1" ht="15">
      <c r="A104" s="351" t="s">
        <v>475</v>
      </c>
      <c r="B104" s="350"/>
      <c r="C104" s="356">
        <f aca="true" t="shared" si="31" ref="C104:N104">ROUND($Q$104/$O$46*C46,0)</f>
        <v>2658</v>
      </c>
      <c r="D104" s="356">
        <f t="shared" si="31"/>
        <v>1263</v>
      </c>
      <c r="E104" s="356">
        <f t="shared" si="31"/>
        <v>1421</v>
      </c>
      <c r="F104" s="356">
        <f t="shared" si="31"/>
        <v>1282</v>
      </c>
      <c r="G104" s="356">
        <f t="shared" si="31"/>
        <v>1566</v>
      </c>
      <c r="H104" s="356">
        <f t="shared" si="31"/>
        <v>850</v>
      </c>
      <c r="I104" s="356">
        <f t="shared" si="31"/>
        <v>942</v>
      </c>
      <c r="J104" s="356">
        <f t="shared" si="31"/>
        <v>981</v>
      </c>
      <c r="K104" s="356">
        <f t="shared" si="31"/>
        <v>1060</v>
      </c>
      <c r="L104" s="356">
        <f t="shared" si="31"/>
        <v>1450</v>
      </c>
      <c r="M104" s="356">
        <f t="shared" si="31"/>
        <v>1820</v>
      </c>
      <c r="N104" s="356">
        <f t="shared" si="31"/>
        <v>2413</v>
      </c>
      <c r="O104" s="542">
        <f t="shared" si="30"/>
        <v>17706</v>
      </c>
      <c r="P104" s="574"/>
      <c r="Q104" s="570">
        <f>O46*0.8</f>
        <v>17705.600000000002</v>
      </c>
    </row>
    <row r="105" spans="1:17" s="539" customFormat="1" ht="15">
      <c r="A105" s="351" t="s">
        <v>479</v>
      </c>
      <c r="B105" s="350"/>
      <c r="C105" s="356">
        <f>C103-C104</f>
        <v>168240</v>
      </c>
      <c r="D105" s="356">
        <f aca="true" t="shared" si="32" ref="D105:N105">D103-D104</f>
        <v>86802</v>
      </c>
      <c r="E105" s="356">
        <f t="shared" si="32"/>
        <v>90459</v>
      </c>
      <c r="F105" s="356">
        <f t="shared" si="32"/>
        <v>91099</v>
      </c>
      <c r="G105" s="356">
        <f t="shared" si="32"/>
        <v>114591</v>
      </c>
      <c r="H105" s="356">
        <f t="shared" si="32"/>
        <v>57716</v>
      </c>
      <c r="I105" s="356">
        <f t="shared" si="32"/>
        <v>62724</v>
      </c>
      <c r="J105" s="356">
        <f t="shared" si="32"/>
        <v>67930</v>
      </c>
      <c r="K105" s="356">
        <f t="shared" si="32"/>
        <v>75660</v>
      </c>
      <c r="L105" s="356">
        <f t="shared" si="32"/>
        <v>102030</v>
      </c>
      <c r="M105" s="356">
        <f t="shared" si="32"/>
        <v>126347</v>
      </c>
      <c r="N105" s="356">
        <f t="shared" si="32"/>
        <v>165179</v>
      </c>
      <c r="O105" s="542">
        <f t="shared" si="30"/>
        <v>1208777</v>
      </c>
      <c r="P105" s="574"/>
      <c r="Q105" s="552"/>
    </row>
    <row r="106" spans="1:17" s="539" customFormat="1" ht="15">
      <c r="A106" s="351" t="s">
        <v>535</v>
      </c>
      <c r="B106" s="350"/>
      <c r="C106" s="548">
        <f aca="true" t="shared" si="33" ref="C106:N106">ROUND($Q$106/$O$48*C48,0)</f>
        <v>120186</v>
      </c>
      <c r="D106" s="548">
        <f t="shared" si="33"/>
        <v>62502</v>
      </c>
      <c r="E106" s="548">
        <f t="shared" si="33"/>
        <v>101376</v>
      </c>
      <c r="F106" s="548">
        <f t="shared" si="33"/>
        <v>73920</v>
      </c>
      <c r="G106" s="548">
        <f t="shared" si="33"/>
        <v>60060</v>
      </c>
      <c r="H106" s="548">
        <f t="shared" si="33"/>
        <v>52206</v>
      </c>
      <c r="I106" s="548">
        <f t="shared" si="33"/>
        <v>56430</v>
      </c>
      <c r="J106" s="548">
        <f t="shared" si="33"/>
        <v>48444</v>
      </c>
      <c r="K106" s="548">
        <f t="shared" si="33"/>
        <v>68772</v>
      </c>
      <c r="L106" s="548">
        <f t="shared" si="33"/>
        <v>69762</v>
      </c>
      <c r="M106" s="548">
        <f t="shared" si="33"/>
        <v>75966</v>
      </c>
      <c r="N106" s="548">
        <f t="shared" si="33"/>
        <v>86328</v>
      </c>
      <c r="O106" s="555">
        <f t="shared" si="30"/>
        <v>875952</v>
      </c>
      <c r="P106" s="574"/>
      <c r="Q106" s="552">
        <f>O48*O74</f>
        <v>875952.0000000001</v>
      </c>
    </row>
    <row r="107" spans="1:17" s="539" customFormat="1" ht="15">
      <c r="A107" s="351" t="s">
        <v>480</v>
      </c>
      <c r="B107" s="350"/>
      <c r="C107" s="356">
        <f>C105+C106-C108</f>
        <v>7058</v>
      </c>
      <c r="D107" s="356">
        <f aca="true" t="shared" si="34" ref="D107:N107">D105+D106-D108</f>
        <v>4653</v>
      </c>
      <c r="E107" s="356">
        <f t="shared" si="34"/>
        <v>5100</v>
      </c>
      <c r="F107" s="356">
        <f t="shared" si="34"/>
        <v>1091</v>
      </c>
      <c r="G107" s="356">
        <f t="shared" si="34"/>
        <v>2406</v>
      </c>
      <c r="H107" s="356">
        <f t="shared" si="34"/>
        <v>2527</v>
      </c>
      <c r="I107" s="356">
        <f t="shared" si="34"/>
        <v>2621</v>
      </c>
      <c r="J107" s="356">
        <f t="shared" si="34"/>
        <v>1853</v>
      </c>
      <c r="K107" s="356">
        <f t="shared" si="34"/>
        <v>2252</v>
      </c>
      <c r="L107" s="356">
        <f t="shared" si="34"/>
        <v>3372</v>
      </c>
      <c r="M107" s="356">
        <f t="shared" si="34"/>
        <v>3269</v>
      </c>
      <c r="N107" s="356">
        <f t="shared" si="34"/>
        <v>2990</v>
      </c>
      <c r="O107" s="542">
        <f t="shared" si="30"/>
        <v>39192</v>
      </c>
      <c r="P107" s="574"/>
      <c r="Q107" s="552"/>
    </row>
    <row r="108" spans="1:17" s="539" customFormat="1" ht="15">
      <c r="A108" s="351" t="s">
        <v>481</v>
      </c>
      <c r="B108" s="350"/>
      <c r="C108" s="356">
        <f aca="true" t="shared" si="35" ref="C108:N108">ROUND($Q$108/$O$50*C50,0)</f>
        <v>281368</v>
      </c>
      <c r="D108" s="356">
        <f t="shared" si="35"/>
        <v>144651</v>
      </c>
      <c r="E108" s="356">
        <f t="shared" si="35"/>
        <v>186735</v>
      </c>
      <c r="F108" s="356">
        <f t="shared" si="35"/>
        <v>163928</v>
      </c>
      <c r="G108" s="356">
        <f t="shared" si="35"/>
        <v>172245</v>
      </c>
      <c r="H108" s="356">
        <f t="shared" si="35"/>
        <v>107395</v>
      </c>
      <c r="I108" s="356">
        <f t="shared" si="35"/>
        <v>116533</v>
      </c>
      <c r="J108" s="356">
        <f t="shared" si="35"/>
        <v>114521</v>
      </c>
      <c r="K108" s="356">
        <f t="shared" si="35"/>
        <v>142180</v>
      </c>
      <c r="L108" s="356">
        <f t="shared" si="35"/>
        <v>168420</v>
      </c>
      <c r="M108" s="356">
        <f t="shared" si="35"/>
        <v>199044</v>
      </c>
      <c r="N108" s="356">
        <f t="shared" si="35"/>
        <v>248517</v>
      </c>
      <c r="O108" s="542">
        <f t="shared" si="30"/>
        <v>2045537</v>
      </c>
      <c r="P108" s="574"/>
      <c r="Q108" s="569">
        <f>O50*(O74+0.02)</f>
        <v>2045535.5200000003</v>
      </c>
    </row>
    <row r="109" spans="1:17" s="539" customFormat="1" ht="15">
      <c r="A109" s="351"/>
      <c r="B109" s="350"/>
      <c r="C109" s="478"/>
      <c r="D109" s="478"/>
      <c r="E109" s="478"/>
      <c r="F109" s="478"/>
      <c r="G109" s="478"/>
      <c r="H109" s="478"/>
      <c r="I109" s="478"/>
      <c r="J109" s="478"/>
      <c r="K109" s="540"/>
      <c r="L109" s="541"/>
      <c r="M109" s="541"/>
      <c r="N109" s="541"/>
      <c r="O109" s="541"/>
      <c r="P109" s="574"/>
      <c r="Q109" s="552"/>
    </row>
    <row r="110" spans="1:17" s="539" customFormat="1" ht="15">
      <c r="A110" s="351" t="s">
        <v>485</v>
      </c>
      <c r="B110" s="350"/>
      <c r="C110" s="356">
        <f aca="true" t="shared" si="36" ref="C110:N110">ROUND(C52*$O$74,0)</f>
        <v>695</v>
      </c>
      <c r="D110" s="356">
        <f t="shared" si="36"/>
        <v>329</v>
      </c>
      <c r="E110" s="356">
        <f t="shared" si="36"/>
        <v>360</v>
      </c>
      <c r="F110" s="356">
        <f t="shared" si="36"/>
        <v>161</v>
      </c>
      <c r="G110" s="356">
        <f t="shared" si="36"/>
        <v>241</v>
      </c>
      <c r="H110" s="356">
        <f t="shared" si="36"/>
        <v>134</v>
      </c>
      <c r="I110" s="356">
        <f t="shared" si="36"/>
        <v>155</v>
      </c>
      <c r="J110" s="356">
        <f t="shared" si="36"/>
        <v>137</v>
      </c>
      <c r="K110" s="356">
        <f t="shared" si="36"/>
        <v>154</v>
      </c>
      <c r="L110" s="356">
        <f t="shared" si="36"/>
        <v>260</v>
      </c>
      <c r="M110" s="356">
        <f t="shared" si="36"/>
        <v>363</v>
      </c>
      <c r="N110" s="356">
        <f t="shared" si="36"/>
        <v>509</v>
      </c>
      <c r="O110" s="542">
        <f t="shared" si="30"/>
        <v>3498</v>
      </c>
      <c r="P110" s="574"/>
      <c r="Q110" s="552"/>
    </row>
    <row r="111" spans="1:17" s="539" customFormat="1" ht="15">
      <c r="A111" s="351" t="s">
        <v>486</v>
      </c>
      <c r="B111" s="350"/>
      <c r="C111" s="356">
        <f>C107-C113</f>
        <v>6095</v>
      </c>
      <c r="D111" s="356">
        <f aca="true" t="shared" si="37" ref="D111:N111">D107-D113</f>
        <v>3784</v>
      </c>
      <c r="E111" s="356">
        <f t="shared" si="37"/>
        <v>4137</v>
      </c>
      <c r="F111" s="356">
        <f t="shared" si="37"/>
        <v>159</v>
      </c>
      <c r="G111" s="356">
        <f t="shared" si="37"/>
        <v>1443</v>
      </c>
      <c r="H111" s="356">
        <f t="shared" si="37"/>
        <v>1595</v>
      </c>
      <c r="I111" s="356">
        <f t="shared" si="37"/>
        <v>1658</v>
      </c>
      <c r="J111" s="356">
        <f t="shared" si="37"/>
        <v>890</v>
      </c>
      <c r="K111" s="356">
        <f t="shared" si="37"/>
        <v>1320</v>
      </c>
      <c r="L111" s="356">
        <f t="shared" si="37"/>
        <v>2409</v>
      </c>
      <c r="M111" s="356">
        <f t="shared" si="37"/>
        <v>2337</v>
      </c>
      <c r="N111" s="356">
        <f t="shared" si="37"/>
        <v>2027</v>
      </c>
      <c r="O111" s="542">
        <f>SUM(C111:N111)</f>
        <v>27854</v>
      </c>
      <c r="P111" s="574"/>
      <c r="Q111" s="552"/>
    </row>
    <row r="112" spans="1:17" s="539" customFormat="1" ht="15">
      <c r="A112" s="351" t="s">
        <v>488</v>
      </c>
      <c r="B112" s="350"/>
      <c r="C112" s="356">
        <f>C104-C110</f>
        <v>1963</v>
      </c>
      <c r="D112" s="356">
        <f aca="true" t="shared" si="38" ref="D112:N112">D104-D110</f>
        <v>934</v>
      </c>
      <c r="E112" s="356">
        <f t="shared" si="38"/>
        <v>1061</v>
      </c>
      <c r="F112" s="356">
        <f t="shared" si="38"/>
        <v>1121</v>
      </c>
      <c r="G112" s="356">
        <f t="shared" si="38"/>
        <v>1325</v>
      </c>
      <c r="H112" s="356">
        <f t="shared" si="38"/>
        <v>716</v>
      </c>
      <c r="I112" s="356">
        <f t="shared" si="38"/>
        <v>787</v>
      </c>
      <c r="J112" s="356">
        <f t="shared" si="38"/>
        <v>844</v>
      </c>
      <c r="K112" s="356">
        <f t="shared" si="38"/>
        <v>906</v>
      </c>
      <c r="L112" s="356">
        <f t="shared" si="38"/>
        <v>1190</v>
      </c>
      <c r="M112" s="356">
        <f t="shared" si="38"/>
        <v>1457</v>
      </c>
      <c r="N112" s="356">
        <f t="shared" si="38"/>
        <v>1904</v>
      </c>
      <c r="O112" s="542">
        <f>SUM(C112:N112)</f>
        <v>14208</v>
      </c>
      <c r="P112" s="574"/>
      <c r="Q112" s="552"/>
    </row>
    <row r="113" spans="1:17" s="539" customFormat="1" ht="15">
      <c r="A113" s="351" t="s">
        <v>489</v>
      </c>
      <c r="B113" s="350"/>
      <c r="C113" s="356">
        <f>ROUND($Q$113/365*C75,0)</f>
        <v>963</v>
      </c>
      <c r="D113" s="356">
        <f aca="true" t="shared" si="39" ref="D113:N113">ROUND($Q$113/365*D75,0)</f>
        <v>869</v>
      </c>
      <c r="E113" s="356">
        <f t="shared" si="39"/>
        <v>963</v>
      </c>
      <c r="F113" s="356">
        <f t="shared" si="39"/>
        <v>932</v>
      </c>
      <c r="G113" s="356">
        <f t="shared" si="39"/>
        <v>963</v>
      </c>
      <c r="H113" s="356">
        <f t="shared" si="39"/>
        <v>932</v>
      </c>
      <c r="I113" s="356">
        <f t="shared" si="39"/>
        <v>963</v>
      </c>
      <c r="J113" s="356">
        <f t="shared" si="39"/>
        <v>963</v>
      </c>
      <c r="K113" s="356">
        <f t="shared" si="39"/>
        <v>932</v>
      </c>
      <c r="L113" s="356">
        <f t="shared" si="39"/>
        <v>963</v>
      </c>
      <c r="M113" s="356">
        <f t="shared" si="39"/>
        <v>932</v>
      </c>
      <c r="N113" s="356">
        <f t="shared" si="39"/>
        <v>963</v>
      </c>
      <c r="O113" s="542">
        <f>SUM(C113:N113)</f>
        <v>11338</v>
      </c>
      <c r="P113" s="574"/>
      <c r="Q113" s="552">
        <f>O55*O74</f>
        <v>11334.400000000001</v>
      </c>
    </row>
    <row r="114" spans="1:17" s="539" customFormat="1" ht="15">
      <c r="A114" s="351" t="s">
        <v>536</v>
      </c>
      <c r="B114" s="350"/>
      <c r="C114" s="544">
        <f aca="true" t="shared" si="40" ref="C114:N114">ROUND(C56*$O$74,3)</f>
        <v>0.373</v>
      </c>
      <c r="D114" s="544">
        <f t="shared" si="40"/>
        <v>0.206</v>
      </c>
      <c r="E114" s="544">
        <f t="shared" si="40"/>
        <v>0.183</v>
      </c>
      <c r="F114" s="544">
        <f t="shared" si="40"/>
        <v>0.21</v>
      </c>
      <c r="G114" s="544">
        <f t="shared" si="40"/>
        <v>0.298</v>
      </c>
      <c r="H114" s="544">
        <f t="shared" si="40"/>
        <v>0.159</v>
      </c>
      <c r="I114" s="544">
        <f t="shared" si="40"/>
        <v>0.153</v>
      </c>
      <c r="J114" s="544">
        <f t="shared" si="40"/>
        <v>0.253</v>
      </c>
      <c r="K114" s="544">
        <f t="shared" si="40"/>
        <v>0.311</v>
      </c>
      <c r="L114" s="544">
        <f t="shared" si="40"/>
        <v>0.554</v>
      </c>
      <c r="M114" s="544">
        <f t="shared" si="40"/>
        <v>0.438</v>
      </c>
      <c r="N114" s="544">
        <f t="shared" si="40"/>
        <v>0.492</v>
      </c>
      <c r="O114" s="545">
        <f>ROUND(AVERAGE(C114:N114),3)</f>
        <v>0.303</v>
      </c>
      <c r="P114" s="574"/>
      <c r="Q114" s="552">
        <f>O56*O74</f>
        <v>0.30250000000000005</v>
      </c>
    </row>
    <row r="115" spans="1:17" s="539" customFormat="1" ht="15">
      <c r="A115" s="351" t="s">
        <v>537</v>
      </c>
      <c r="B115" s="350"/>
      <c r="C115" s="544">
        <f aca="true" t="shared" si="41" ref="C115:N115">ROUND(C57*$O$74,3)</f>
        <v>0.262</v>
      </c>
      <c r="D115" s="544">
        <f t="shared" si="41"/>
        <v>0.146</v>
      </c>
      <c r="E115" s="544">
        <f t="shared" si="41"/>
        <v>0.202</v>
      </c>
      <c r="F115" s="544">
        <f t="shared" si="41"/>
        <v>0.168</v>
      </c>
      <c r="G115" s="544">
        <f t="shared" si="41"/>
        <v>0.154</v>
      </c>
      <c r="H115" s="544">
        <f t="shared" si="41"/>
        <v>0.142</v>
      </c>
      <c r="I115" s="544">
        <f t="shared" si="41"/>
        <v>0.135</v>
      </c>
      <c r="J115" s="544">
        <f t="shared" si="41"/>
        <v>0.178</v>
      </c>
      <c r="K115" s="544">
        <f t="shared" si="41"/>
        <v>0.279</v>
      </c>
      <c r="L115" s="544">
        <f t="shared" si="41"/>
        <v>0.374</v>
      </c>
      <c r="M115" s="544">
        <f t="shared" si="41"/>
        <v>0.26</v>
      </c>
      <c r="N115" s="544">
        <f t="shared" si="41"/>
        <v>0.253</v>
      </c>
      <c r="O115" s="545">
        <f>ROUND(AVERAGE(C115:N115),3)</f>
        <v>0.213</v>
      </c>
      <c r="P115" s="574"/>
      <c r="Q115" s="552">
        <f>O57*O74</f>
        <v>0.21230000000000002</v>
      </c>
    </row>
    <row r="116" spans="1:16" s="539" customFormat="1" ht="15">
      <c r="A116" s="538"/>
      <c r="C116" s="544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5"/>
      <c r="P116" s="574"/>
    </row>
    <row r="117" spans="1:16" s="539" customFormat="1" ht="15">
      <c r="A117" s="351"/>
      <c r="B117" s="351"/>
      <c r="C117" s="478"/>
      <c r="D117" s="544"/>
      <c r="E117" s="544"/>
      <c r="F117" s="564">
        <v>2020</v>
      </c>
      <c r="G117" s="564" t="s">
        <v>639</v>
      </c>
      <c r="H117" s="544"/>
      <c r="I117" s="544"/>
      <c r="J117" s="544"/>
      <c r="K117" s="544"/>
      <c r="L117" s="544"/>
      <c r="M117" s="544"/>
      <c r="N117" s="544"/>
      <c r="O117" s="545"/>
      <c r="P117" s="574"/>
    </row>
    <row r="118" spans="1:16" s="539" customFormat="1" ht="15">
      <c r="A118" s="561" t="s">
        <v>649</v>
      </c>
      <c r="B118" s="561"/>
      <c r="C118" s="541">
        <v>17</v>
      </c>
      <c r="D118" s="541">
        <v>19</v>
      </c>
      <c r="E118" s="541">
        <v>21</v>
      </c>
      <c r="F118" s="541">
        <v>22</v>
      </c>
      <c r="G118" s="541">
        <v>17</v>
      </c>
      <c r="H118" s="541">
        <v>20</v>
      </c>
      <c r="I118" s="541">
        <v>23</v>
      </c>
      <c r="J118" s="541">
        <v>21</v>
      </c>
      <c r="K118" s="541">
        <v>22</v>
      </c>
      <c r="L118" s="541">
        <v>22</v>
      </c>
      <c r="M118" s="541">
        <v>19</v>
      </c>
      <c r="N118" s="541">
        <v>23</v>
      </c>
      <c r="O118" s="555">
        <f aca="true" t="shared" si="42" ref="O118:O128">SUM(C118:N118)</f>
        <v>246</v>
      </c>
      <c r="P118" s="574"/>
    </row>
    <row r="119" spans="1:17" s="539" customFormat="1" ht="15">
      <c r="A119" s="351" t="s">
        <v>478</v>
      </c>
      <c r="B119" s="351"/>
      <c r="C119" s="356">
        <f>ROUND($Q$119/$O$118*C118,0)</f>
        <v>16390</v>
      </c>
      <c r="D119" s="356">
        <f aca="true" t="shared" si="43" ref="D119:N119">ROUND($Q$119/$O$118*D118,0)</f>
        <v>18319</v>
      </c>
      <c r="E119" s="356">
        <f t="shared" si="43"/>
        <v>20247</v>
      </c>
      <c r="F119" s="356">
        <f t="shared" si="43"/>
        <v>21211</v>
      </c>
      <c r="G119" s="356">
        <f t="shared" si="43"/>
        <v>16390</v>
      </c>
      <c r="H119" s="356">
        <f t="shared" si="43"/>
        <v>19283</v>
      </c>
      <c r="I119" s="356">
        <f t="shared" si="43"/>
        <v>22175</v>
      </c>
      <c r="J119" s="356">
        <f t="shared" si="43"/>
        <v>20247</v>
      </c>
      <c r="K119" s="356">
        <f t="shared" si="43"/>
        <v>21211</v>
      </c>
      <c r="L119" s="356">
        <f t="shared" si="43"/>
        <v>21211</v>
      </c>
      <c r="M119" s="356">
        <f t="shared" si="43"/>
        <v>18319</v>
      </c>
      <c r="N119" s="356">
        <f t="shared" si="43"/>
        <v>22175</v>
      </c>
      <c r="O119" s="542">
        <f t="shared" si="42"/>
        <v>237178</v>
      </c>
      <c r="P119" s="574"/>
      <c r="Q119" s="552">
        <f>O60/153*365</f>
        <v>237178.431372549</v>
      </c>
    </row>
    <row r="120" spans="1:17" s="539" customFormat="1" ht="15">
      <c r="A120" s="351" t="s">
        <v>475</v>
      </c>
      <c r="B120" s="351"/>
      <c r="C120" s="356">
        <f>C125+C127</f>
        <v>1083.12</v>
      </c>
      <c r="D120" s="356">
        <f aca="true" t="shared" si="44" ref="D120:N120">D125+D127</f>
        <v>1006.552</v>
      </c>
      <c r="E120" s="356">
        <f t="shared" si="44"/>
        <v>1113.976</v>
      </c>
      <c r="F120" s="356">
        <f t="shared" si="44"/>
        <v>1090.688</v>
      </c>
      <c r="G120" s="356">
        <f t="shared" si="44"/>
        <v>1083.12</v>
      </c>
      <c r="H120" s="356">
        <f t="shared" si="44"/>
        <v>1075.2640000000001</v>
      </c>
      <c r="I120" s="356">
        <f t="shared" si="44"/>
        <v>1129.4</v>
      </c>
      <c r="J120" s="356">
        <f t="shared" si="44"/>
        <v>1113.976</v>
      </c>
      <c r="K120" s="356">
        <f t="shared" si="44"/>
        <v>1090.688</v>
      </c>
      <c r="L120" s="356">
        <f t="shared" si="44"/>
        <v>1121.688</v>
      </c>
      <c r="M120" s="356">
        <f t="shared" si="44"/>
        <v>1067.552</v>
      </c>
      <c r="N120" s="356">
        <f t="shared" si="44"/>
        <v>1129.4</v>
      </c>
      <c r="O120" s="542">
        <f t="shared" si="42"/>
        <v>13105.424</v>
      </c>
      <c r="P120" s="574"/>
      <c r="Q120" s="552"/>
    </row>
    <row r="121" spans="1:17" s="539" customFormat="1" ht="15">
      <c r="A121" s="351" t="s">
        <v>479</v>
      </c>
      <c r="B121" s="351"/>
      <c r="C121" s="478">
        <f>C119-C120</f>
        <v>15306.880000000001</v>
      </c>
      <c r="D121" s="478">
        <f aca="true" t="shared" si="45" ref="D121:N121">D119-D120</f>
        <v>17312.448</v>
      </c>
      <c r="E121" s="478">
        <f t="shared" si="45"/>
        <v>19133.024</v>
      </c>
      <c r="F121" s="478">
        <f t="shared" si="45"/>
        <v>20120.311999999998</v>
      </c>
      <c r="G121" s="478">
        <f t="shared" si="45"/>
        <v>15306.880000000001</v>
      </c>
      <c r="H121" s="478">
        <f t="shared" si="45"/>
        <v>18207.736</v>
      </c>
      <c r="I121" s="478">
        <f t="shared" si="45"/>
        <v>21045.6</v>
      </c>
      <c r="J121" s="478">
        <f t="shared" si="45"/>
        <v>19133.024</v>
      </c>
      <c r="K121" s="478">
        <f t="shared" si="45"/>
        <v>20120.311999999998</v>
      </c>
      <c r="L121" s="478">
        <f t="shared" si="45"/>
        <v>20089.311999999998</v>
      </c>
      <c r="M121" s="478">
        <f t="shared" si="45"/>
        <v>17251.448</v>
      </c>
      <c r="N121" s="478">
        <f t="shared" si="45"/>
        <v>21045.6</v>
      </c>
      <c r="O121" s="542">
        <f t="shared" si="42"/>
        <v>224072.57600000003</v>
      </c>
      <c r="P121" s="574"/>
      <c r="Q121" s="552"/>
    </row>
    <row r="122" spans="1:17" s="539" customFormat="1" ht="15">
      <c r="A122" s="351" t="s">
        <v>480</v>
      </c>
      <c r="B122" s="351"/>
      <c r="C122" s="356">
        <f>C121-C123</f>
        <v>666.880000000001</v>
      </c>
      <c r="D122" s="356">
        <f aca="true" t="shared" si="46" ref="D122:N122">D121-D123</f>
        <v>950.4480000000003</v>
      </c>
      <c r="E122" s="356">
        <f t="shared" si="46"/>
        <v>1049.0240000000013</v>
      </c>
      <c r="F122" s="356">
        <f t="shared" si="46"/>
        <v>1175.311999999998</v>
      </c>
      <c r="G122" s="356">
        <f t="shared" si="46"/>
        <v>666.880000000001</v>
      </c>
      <c r="H122" s="356">
        <f t="shared" si="46"/>
        <v>984.7360000000008</v>
      </c>
      <c r="I122" s="356">
        <f t="shared" si="46"/>
        <v>1239.5999999999985</v>
      </c>
      <c r="J122" s="356">
        <f t="shared" si="46"/>
        <v>1049.0240000000013</v>
      </c>
      <c r="K122" s="356">
        <f t="shared" si="46"/>
        <v>1175.311999999998</v>
      </c>
      <c r="L122" s="356">
        <f t="shared" si="46"/>
        <v>1144.311999999998</v>
      </c>
      <c r="M122" s="356">
        <f t="shared" si="46"/>
        <v>889.4480000000003</v>
      </c>
      <c r="N122" s="356">
        <f t="shared" si="46"/>
        <v>1239.5999999999985</v>
      </c>
      <c r="O122" s="542">
        <f t="shared" si="42"/>
        <v>12230.575999999997</v>
      </c>
      <c r="P122" s="574"/>
      <c r="Q122" s="552"/>
    </row>
    <row r="123" spans="1:17" s="539" customFormat="1" ht="15">
      <c r="A123" s="351" t="s">
        <v>481</v>
      </c>
      <c r="B123" s="351"/>
      <c r="C123" s="356">
        <f>ROUND($Q$123/$O$118*C118,0)</f>
        <v>14640</v>
      </c>
      <c r="D123" s="356">
        <f aca="true" t="shared" si="47" ref="D123:N123">ROUND($Q$123/$O$118*D118,0)</f>
        <v>16362</v>
      </c>
      <c r="E123" s="356">
        <f t="shared" si="47"/>
        <v>18084</v>
      </c>
      <c r="F123" s="356">
        <f t="shared" si="47"/>
        <v>18945</v>
      </c>
      <c r="G123" s="356">
        <f t="shared" si="47"/>
        <v>14640</v>
      </c>
      <c r="H123" s="356">
        <f t="shared" si="47"/>
        <v>17223</v>
      </c>
      <c r="I123" s="356">
        <f t="shared" si="47"/>
        <v>19806</v>
      </c>
      <c r="J123" s="356">
        <f t="shared" si="47"/>
        <v>18084</v>
      </c>
      <c r="K123" s="356">
        <f t="shared" si="47"/>
        <v>18945</v>
      </c>
      <c r="L123" s="356">
        <f t="shared" si="47"/>
        <v>18945</v>
      </c>
      <c r="M123" s="356">
        <f t="shared" si="47"/>
        <v>16362</v>
      </c>
      <c r="N123" s="356">
        <f t="shared" si="47"/>
        <v>19806</v>
      </c>
      <c r="O123" s="542">
        <f t="shared" si="42"/>
        <v>211842</v>
      </c>
      <c r="P123" s="574"/>
      <c r="Q123" s="552">
        <f>O64/153*365</f>
        <v>211843.13725490196</v>
      </c>
    </row>
    <row r="124" spans="1:16" s="539" customFormat="1" ht="15">
      <c r="A124" s="351"/>
      <c r="B124" s="351"/>
      <c r="C124" s="356"/>
      <c r="D124" s="544"/>
      <c r="E124" s="544"/>
      <c r="F124" s="544"/>
      <c r="G124" s="544"/>
      <c r="H124" s="544"/>
      <c r="I124" s="544"/>
      <c r="J124" s="544"/>
      <c r="K124" s="544"/>
      <c r="L124" s="544"/>
      <c r="M124" s="544"/>
      <c r="N124" s="544"/>
      <c r="O124" s="545"/>
      <c r="P124" s="574"/>
    </row>
    <row r="125" spans="1:17" s="539" customFormat="1" ht="15">
      <c r="A125" s="351" t="s">
        <v>485</v>
      </c>
      <c r="B125" s="351"/>
      <c r="C125" s="356">
        <f>C119*0.008</f>
        <v>131.12</v>
      </c>
      <c r="D125" s="356">
        <f aca="true" t="shared" si="48" ref="D125:N125">D119*0.008</f>
        <v>146.552</v>
      </c>
      <c r="E125" s="356">
        <f t="shared" si="48"/>
        <v>161.976</v>
      </c>
      <c r="F125" s="356">
        <f t="shared" si="48"/>
        <v>169.68800000000002</v>
      </c>
      <c r="G125" s="356">
        <f t="shared" si="48"/>
        <v>131.12</v>
      </c>
      <c r="H125" s="356">
        <f t="shared" si="48"/>
        <v>154.264</v>
      </c>
      <c r="I125" s="356">
        <f t="shared" si="48"/>
        <v>177.4</v>
      </c>
      <c r="J125" s="356">
        <f t="shared" si="48"/>
        <v>161.976</v>
      </c>
      <c r="K125" s="356">
        <f t="shared" si="48"/>
        <v>169.68800000000002</v>
      </c>
      <c r="L125" s="356">
        <f t="shared" si="48"/>
        <v>169.68800000000002</v>
      </c>
      <c r="M125" s="356">
        <f t="shared" si="48"/>
        <v>146.552</v>
      </c>
      <c r="N125" s="356">
        <f t="shared" si="48"/>
        <v>177.4</v>
      </c>
      <c r="O125" s="542">
        <f t="shared" si="42"/>
        <v>1897.4240000000002</v>
      </c>
      <c r="P125" s="574"/>
      <c r="Q125" s="552"/>
    </row>
    <row r="126" spans="1:17" s="539" customFormat="1" ht="15">
      <c r="A126" s="351" t="s">
        <v>486</v>
      </c>
      <c r="B126" s="351"/>
      <c r="C126" s="356">
        <f>C122-C128</f>
        <v>590.4416438356175</v>
      </c>
      <c r="D126" s="356">
        <f aca="true" t="shared" si="49" ref="D126:N126">D122-D128</f>
        <v>881.4069041095894</v>
      </c>
      <c r="E126" s="356">
        <f t="shared" si="49"/>
        <v>972.5856438356177</v>
      </c>
      <c r="F126" s="356">
        <f t="shared" si="49"/>
        <v>1101.339397260272</v>
      </c>
      <c r="G126" s="356">
        <f t="shared" si="49"/>
        <v>590.4416438356175</v>
      </c>
      <c r="H126" s="356">
        <f t="shared" si="49"/>
        <v>910.7633972602748</v>
      </c>
      <c r="I126" s="356">
        <f t="shared" si="49"/>
        <v>1163.161643835615</v>
      </c>
      <c r="J126" s="356">
        <f t="shared" si="49"/>
        <v>972.5856438356177</v>
      </c>
      <c r="K126" s="356">
        <f t="shared" si="49"/>
        <v>1101.339397260272</v>
      </c>
      <c r="L126" s="356">
        <f t="shared" si="49"/>
        <v>1067.8736438356145</v>
      </c>
      <c r="M126" s="356">
        <f t="shared" si="49"/>
        <v>815.4753972602743</v>
      </c>
      <c r="N126" s="356">
        <f t="shared" si="49"/>
        <v>1163.161643835615</v>
      </c>
      <c r="O126" s="542">
        <f t="shared" si="42"/>
        <v>11330.575999999997</v>
      </c>
      <c r="P126" s="574"/>
      <c r="Q126" s="552"/>
    </row>
    <row r="127" spans="1:17" s="539" customFormat="1" ht="15">
      <c r="A127" s="351" t="s">
        <v>488</v>
      </c>
      <c r="B127" s="351"/>
      <c r="C127" s="356">
        <f>ROUND(($F$60+$F$61+$F$62+$F$63+$F$64)*C75,0)</f>
        <v>952</v>
      </c>
      <c r="D127" s="356">
        <f aca="true" t="shared" si="50" ref="D127:N127">ROUND(($F$60+$F$61+$F$62+$F$63+$F$64)*D75,0)</f>
        <v>860</v>
      </c>
      <c r="E127" s="356">
        <f t="shared" si="50"/>
        <v>952</v>
      </c>
      <c r="F127" s="356">
        <f t="shared" si="50"/>
        <v>921</v>
      </c>
      <c r="G127" s="356">
        <f t="shared" si="50"/>
        <v>952</v>
      </c>
      <c r="H127" s="356">
        <f t="shared" si="50"/>
        <v>921</v>
      </c>
      <c r="I127" s="356">
        <f t="shared" si="50"/>
        <v>952</v>
      </c>
      <c r="J127" s="356">
        <f t="shared" si="50"/>
        <v>952</v>
      </c>
      <c r="K127" s="356">
        <f t="shared" si="50"/>
        <v>921</v>
      </c>
      <c r="L127" s="356">
        <f t="shared" si="50"/>
        <v>952</v>
      </c>
      <c r="M127" s="356">
        <f t="shared" si="50"/>
        <v>921</v>
      </c>
      <c r="N127" s="356">
        <f t="shared" si="50"/>
        <v>952</v>
      </c>
      <c r="O127" s="542">
        <f t="shared" si="42"/>
        <v>11208</v>
      </c>
      <c r="P127" s="574"/>
      <c r="Q127" s="552"/>
    </row>
    <row r="128" spans="1:17" s="539" customFormat="1" ht="15">
      <c r="A128" s="351" t="s">
        <v>489</v>
      </c>
      <c r="B128" s="351"/>
      <c r="C128" s="356">
        <f>9*$F$62*C75</f>
        <v>76.43835616438356</v>
      </c>
      <c r="D128" s="356">
        <f aca="true" t="shared" si="51" ref="D128:N128">9*$F$62*D75</f>
        <v>69.04109589041096</v>
      </c>
      <c r="E128" s="356">
        <f t="shared" si="51"/>
        <v>76.43835616438356</v>
      </c>
      <c r="F128" s="356">
        <f t="shared" si="51"/>
        <v>73.97260273972603</v>
      </c>
      <c r="G128" s="356">
        <f t="shared" si="51"/>
        <v>76.43835616438356</v>
      </c>
      <c r="H128" s="356">
        <f t="shared" si="51"/>
        <v>73.97260273972603</v>
      </c>
      <c r="I128" s="356">
        <f t="shared" si="51"/>
        <v>76.43835616438356</v>
      </c>
      <c r="J128" s="356">
        <f t="shared" si="51"/>
        <v>76.43835616438356</v>
      </c>
      <c r="K128" s="356">
        <f t="shared" si="51"/>
        <v>73.97260273972603</v>
      </c>
      <c r="L128" s="356">
        <f t="shared" si="51"/>
        <v>76.43835616438356</v>
      </c>
      <c r="M128" s="356">
        <f t="shared" si="51"/>
        <v>73.97260273972603</v>
      </c>
      <c r="N128" s="356">
        <f t="shared" si="51"/>
        <v>76.43835616438356</v>
      </c>
      <c r="O128" s="542">
        <f t="shared" si="42"/>
        <v>900</v>
      </c>
      <c r="P128" s="574"/>
      <c r="Q128" s="552"/>
    </row>
    <row r="129" spans="1:17" s="539" customFormat="1" ht="14.25">
      <c r="A129" s="351" t="s">
        <v>534</v>
      </c>
      <c r="B129" s="351"/>
      <c r="C129" s="544">
        <f>ROUND(C119/C118/8/1000,3)</f>
        <v>0.121</v>
      </c>
      <c r="D129" s="544">
        <f aca="true" t="shared" si="52" ref="D129:N129">ROUND(D119/D118/8/1000,3)</f>
        <v>0.121</v>
      </c>
      <c r="E129" s="544">
        <f t="shared" si="52"/>
        <v>0.121</v>
      </c>
      <c r="F129" s="544">
        <f t="shared" si="52"/>
        <v>0.121</v>
      </c>
      <c r="G129" s="544">
        <f t="shared" si="52"/>
        <v>0.121</v>
      </c>
      <c r="H129" s="544">
        <f t="shared" si="52"/>
        <v>0.121</v>
      </c>
      <c r="I129" s="544">
        <f t="shared" si="52"/>
        <v>0.121</v>
      </c>
      <c r="J129" s="544">
        <f t="shared" si="52"/>
        <v>0.121</v>
      </c>
      <c r="K129" s="544">
        <f t="shared" si="52"/>
        <v>0.121</v>
      </c>
      <c r="L129" s="544">
        <f t="shared" si="52"/>
        <v>0.121</v>
      </c>
      <c r="M129" s="544">
        <f t="shared" si="52"/>
        <v>0.121</v>
      </c>
      <c r="N129" s="544">
        <f t="shared" si="52"/>
        <v>0.121</v>
      </c>
      <c r="O129" s="545">
        <f>AVERAGE(C129:N129)</f>
        <v>0.121</v>
      </c>
      <c r="P129" s="574"/>
      <c r="Q129" s="552"/>
    </row>
    <row r="130" spans="1:16" s="539" customFormat="1" ht="14.25">
      <c r="A130" s="538"/>
      <c r="C130" s="544"/>
      <c r="D130" s="544"/>
      <c r="E130" s="544"/>
      <c r="F130" s="544"/>
      <c r="G130" s="544"/>
      <c r="H130" s="544"/>
      <c r="I130" s="544"/>
      <c r="J130" s="544"/>
      <c r="K130" s="544"/>
      <c r="L130" s="544"/>
      <c r="M130" s="544"/>
      <c r="N130" s="544"/>
      <c r="O130" s="545"/>
      <c r="P130" s="574"/>
    </row>
    <row r="131" spans="1:16" s="539" customFormat="1" ht="14.25">
      <c r="A131" s="351"/>
      <c r="B131" s="351"/>
      <c r="C131" s="478"/>
      <c r="D131" s="544"/>
      <c r="E131" s="544"/>
      <c r="F131" s="564">
        <v>2020</v>
      </c>
      <c r="G131" s="564" t="s">
        <v>640</v>
      </c>
      <c r="H131" s="544"/>
      <c r="I131" s="544"/>
      <c r="J131" s="544"/>
      <c r="K131" s="544"/>
      <c r="L131" s="544"/>
      <c r="M131" s="544"/>
      <c r="N131" s="544"/>
      <c r="O131" s="545"/>
      <c r="P131" s="574"/>
    </row>
    <row r="132" spans="1:16" s="539" customFormat="1" ht="14.25">
      <c r="A132" s="351" t="s">
        <v>478</v>
      </c>
      <c r="B132" s="351"/>
      <c r="C132" s="356">
        <v>6800</v>
      </c>
      <c r="D132" s="356">
        <v>7800</v>
      </c>
      <c r="E132" s="356">
        <v>8000</v>
      </c>
      <c r="F132" s="356">
        <v>4105</v>
      </c>
      <c r="G132" s="356">
        <v>4455</v>
      </c>
      <c r="H132" s="356">
        <v>12529</v>
      </c>
      <c r="I132" s="356">
        <v>8846</v>
      </c>
      <c r="J132" s="356">
        <v>11555</v>
      </c>
      <c r="K132" s="356">
        <v>6370</v>
      </c>
      <c r="L132" s="356">
        <v>5792</v>
      </c>
      <c r="M132" s="356">
        <v>6348</v>
      </c>
      <c r="N132" s="356">
        <v>7355</v>
      </c>
      <c r="O132" s="542">
        <f aca="true" t="shared" si="53" ref="O132:O141">SUM(C132:N132)</f>
        <v>89955</v>
      </c>
      <c r="P132" s="574"/>
    </row>
    <row r="133" spans="1:17" s="539" customFormat="1" ht="14.25">
      <c r="A133" s="351" t="s">
        <v>475</v>
      </c>
      <c r="B133" s="351"/>
      <c r="C133" s="356">
        <f>C138+C140</f>
        <v>329</v>
      </c>
      <c r="D133" s="356">
        <f aca="true" t="shared" si="54" ref="D133:N133">D138+D140</f>
        <v>377</v>
      </c>
      <c r="E133" s="356">
        <f t="shared" si="54"/>
        <v>387</v>
      </c>
      <c r="F133" s="356">
        <f t="shared" si="54"/>
        <v>199</v>
      </c>
      <c r="G133" s="356">
        <f t="shared" si="54"/>
        <v>216</v>
      </c>
      <c r="H133" s="356">
        <f t="shared" si="54"/>
        <v>607</v>
      </c>
      <c r="I133" s="356">
        <f t="shared" si="54"/>
        <v>428</v>
      </c>
      <c r="J133" s="356">
        <f t="shared" si="54"/>
        <v>559</v>
      </c>
      <c r="K133" s="356">
        <f t="shared" si="54"/>
        <v>308</v>
      </c>
      <c r="L133" s="356">
        <f t="shared" si="54"/>
        <v>280</v>
      </c>
      <c r="M133" s="356">
        <f t="shared" si="54"/>
        <v>307</v>
      </c>
      <c r="N133" s="356">
        <f t="shared" si="54"/>
        <v>356</v>
      </c>
      <c r="O133" s="542">
        <f t="shared" si="53"/>
        <v>4353</v>
      </c>
      <c r="P133" s="574"/>
      <c r="Q133" s="552"/>
    </row>
    <row r="134" spans="1:17" s="539" customFormat="1" ht="14.25">
      <c r="A134" s="351" t="s">
        <v>479</v>
      </c>
      <c r="B134" s="351"/>
      <c r="C134" s="356">
        <f>C132-C133</f>
        <v>6471</v>
      </c>
      <c r="D134" s="356">
        <f aca="true" t="shared" si="55" ref="D134:N134">D132-D133</f>
        <v>7423</v>
      </c>
      <c r="E134" s="356">
        <f t="shared" si="55"/>
        <v>7613</v>
      </c>
      <c r="F134" s="356">
        <f t="shared" si="55"/>
        <v>3906</v>
      </c>
      <c r="G134" s="356">
        <f t="shared" si="55"/>
        <v>4239</v>
      </c>
      <c r="H134" s="356">
        <f t="shared" si="55"/>
        <v>11922</v>
      </c>
      <c r="I134" s="356">
        <f t="shared" si="55"/>
        <v>8418</v>
      </c>
      <c r="J134" s="356">
        <f t="shared" si="55"/>
        <v>10996</v>
      </c>
      <c r="K134" s="356">
        <f t="shared" si="55"/>
        <v>6062</v>
      </c>
      <c r="L134" s="356">
        <f t="shared" si="55"/>
        <v>5512</v>
      </c>
      <c r="M134" s="356">
        <f t="shared" si="55"/>
        <v>6041</v>
      </c>
      <c r="N134" s="356">
        <f t="shared" si="55"/>
        <v>6999</v>
      </c>
      <c r="O134" s="542">
        <f t="shared" si="53"/>
        <v>85602</v>
      </c>
      <c r="P134" s="574"/>
      <c r="Q134" s="552"/>
    </row>
    <row r="135" spans="1:17" s="539" customFormat="1" ht="14.25">
      <c r="A135" s="351" t="s">
        <v>480</v>
      </c>
      <c r="B135" s="351"/>
      <c r="C135" s="356">
        <f>C132*0.0032</f>
        <v>21.76</v>
      </c>
      <c r="D135" s="356">
        <f aca="true" t="shared" si="56" ref="D135:N135">D132*0.0032</f>
        <v>24.96</v>
      </c>
      <c r="E135" s="356">
        <f t="shared" si="56"/>
        <v>25.6</v>
      </c>
      <c r="F135" s="356">
        <f t="shared" si="56"/>
        <v>13.136000000000001</v>
      </c>
      <c r="G135" s="356">
        <f t="shared" si="56"/>
        <v>14.256</v>
      </c>
      <c r="H135" s="356">
        <f t="shared" si="56"/>
        <v>40.092800000000004</v>
      </c>
      <c r="I135" s="356">
        <f t="shared" si="56"/>
        <v>28.3072</v>
      </c>
      <c r="J135" s="356">
        <f t="shared" si="56"/>
        <v>36.976</v>
      </c>
      <c r="K135" s="356">
        <f t="shared" si="56"/>
        <v>20.384</v>
      </c>
      <c r="L135" s="356">
        <f t="shared" si="56"/>
        <v>18.5344</v>
      </c>
      <c r="M135" s="356">
        <f t="shared" si="56"/>
        <v>20.3136</v>
      </c>
      <c r="N135" s="356">
        <f t="shared" si="56"/>
        <v>23.536</v>
      </c>
      <c r="O135" s="542">
        <f t="shared" si="53"/>
        <v>287.856</v>
      </c>
      <c r="P135" s="574"/>
      <c r="Q135" s="552"/>
    </row>
    <row r="136" spans="1:17" s="539" customFormat="1" ht="14.25">
      <c r="A136" s="351" t="s">
        <v>481</v>
      </c>
      <c r="B136" s="351"/>
      <c r="C136" s="356">
        <f>C134-C135</f>
        <v>6449.24</v>
      </c>
      <c r="D136" s="356">
        <f aca="true" t="shared" si="57" ref="D136:N136">D134-D135</f>
        <v>7398.04</v>
      </c>
      <c r="E136" s="356">
        <f t="shared" si="57"/>
        <v>7587.4</v>
      </c>
      <c r="F136" s="356">
        <f t="shared" si="57"/>
        <v>3892.864</v>
      </c>
      <c r="G136" s="356">
        <f t="shared" si="57"/>
        <v>4224.744</v>
      </c>
      <c r="H136" s="356">
        <f t="shared" si="57"/>
        <v>11881.9072</v>
      </c>
      <c r="I136" s="356">
        <f t="shared" si="57"/>
        <v>8389.6928</v>
      </c>
      <c r="J136" s="356">
        <f t="shared" si="57"/>
        <v>10959.024</v>
      </c>
      <c r="K136" s="356">
        <f t="shared" si="57"/>
        <v>6041.616</v>
      </c>
      <c r="L136" s="356">
        <f t="shared" si="57"/>
        <v>5493.4656</v>
      </c>
      <c r="M136" s="356">
        <f t="shared" si="57"/>
        <v>6020.6864</v>
      </c>
      <c r="N136" s="356">
        <f t="shared" si="57"/>
        <v>6975.464</v>
      </c>
      <c r="O136" s="542">
        <f t="shared" si="53"/>
        <v>85314.144</v>
      </c>
      <c r="P136" s="574"/>
      <c r="Q136" s="552"/>
    </row>
    <row r="137" spans="1:17" s="539" customFormat="1" ht="14.25">
      <c r="A137" s="351"/>
      <c r="B137" s="351"/>
      <c r="C137" s="356"/>
      <c r="D137" s="544"/>
      <c r="E137" s="544"/>
      <c r="F137" s="544"/>
      <c r="G137" s="544"/>
      <c r="H137" s="544"/>
      <c r="I137" s="544"/>
      <c r="J137" s="544"/>
      <c r="K137" s="544"/>
      <c r="L137" s="544"/>
      <c r="M137" s="544"/>
      <c r="N137" s="544"/>
      <c r="O137" s="542"/>
      <c r="P137" s="574"/>
      <c r="Q137" s="552"/>
    </row>
    <row r="138" spans="1:16" s="539" customFormat="1" ht="14.25">
      <c r="A138" s="351" t="s">
        <v>485</v>
      </c>
      <c r="B138" s="351"/>
      <c r="C138" s="356">
        <f>ROUND(C132*0.0054,0)</f>
        <v>37</v>
      </c>
      <c r="D138" s="356">
        <f aca="true" t="shared" si="58" ref="D138:N138">ROUND(D132*0.0054,0)</f>
        <v>42</v>
      </c>
      <c r="E138" s="356">
        <f t="shared" si="58"/>
        <v>43</v>
      </c>
      <c r="F138" s="356">
        <f t="shared" si="58"/>
        <v>22</v>
      </c>
      <c r="G138" s="356">
        <f t="shared" si="58"/>
        <v>24</v>
      </c>
      <c r="H138" s="356">
        <f t="shared" si="58"/>
        <v>68</v>
      </c>
      <c r="I138" s="356">
        <f t="shared" si="58"/>
        <v>48</v>
      </c>
      <c r="J138" s="356">
        <f t="shared" si="58"/>
        <v>62</v>
      </c>
      <c r="K138" s="356">
        <f t="shared" si="58"/>
        <v>34</v>
      </c>
      <c r="L138" s="356">
        <f t="shared" si="58"/>
        <v>31</v>
      </c>
      <c r="M138" s="356">
        <f t="shared" si="58"/>
        <v>34</v>
      </c>
      <c r="N138" s="356">
        <f t="shared" si="58"/>
        <v>40</v>
      </c>
      <c r="O138" s="542">
        <f t="shared" si="53"/>
        <v>485</v>
      </c>
      <c r="P138" s="574"/>
    </row>
    <row r="139" spans="1:17" s="539" customFormat="1" ht="14.25">
      <c r="A139" s="351" t="s">
        <v>486</v>
      </c>
      <c r="B139" s="351"/>
      <c r="C139" s="356">
        <v>0</v>
      </c>
      <c r="D139" s="356">
        <v>0</v>
      </c>
      <c r="E139" s="356">
        <v>0</v>
      </c>
      <c r="F139" s="356">
        <v>0</v>
      </c>
      <c r="G139" s="356">
        <v>0</v>
      </c>
      <c r="H139" s="356">
        <v>0</v>
      </c>
      <c r="I139" s="356">
        <v>0</v>
      </c>
      <c r="J139" s="356">
        <v>0</v>
      </c>
      <c r="K139" s="356">
        <v>0</v>
      </c>
      <c r="L139" s="356">
        <v>0</v>
      </c>
      <c r="M139" s="356">
        <v>0</v>
      </c>
      <c r="N139" s="356">
        <v>0</v>
      </c>
      <c r="O139" s="542">
        <f t="shared" si="53"/>
        <v>0</v>
      </c>
      <c r="P139" s="574"/>
      <c r="Q139" s="552"/>
    </row>
    <row r="140" spans="1:17" s="539" customFormat="1" ht="14.25">
      <c r="A140" s="351" t="s">
        <v>488</v>
      </c>
      <c r="B140" s="351"/>
      <c r="C140" s="356">
        <f>ROUND(C132*0.043,0)</f>
        <v>292</v>
      </c>
      <c r="D140" s="356">
        <f aca="true" t="shared" si="59" ref="D140:N140">ROUND(D132*0.043,0)</f>
        <v>335</v>
      </c>
      <c r="E140" s="356">
        <f t="shared" si="59"/>
        <v>344</v>
      </c>
      <c r="F140" s="356">
        <f t="shared" si="59"/>
        <v>177</v>
      </c>
      <c r="G140" s="356">
        <f t="shared" si="59"/>
        <v>192</v>
      </c>
      <c r="H140" s="356">
        <f t="shared" si="59"/>
        <v>539</v>
      </c>
      <c r="I140" s="356">
        <f t="shared" si="59"/>
        <v>380</v>
      </c>
      <c r="J140" s="356">
        <f t="shared" si="59"/>
        <v>497</v>
      </c>
      <c r="K140" s="356">
        <f t="shared" si="59"/>
        <v>274</v>
      </c>
      <c r="L140" s="356">
        <f t="shared" si="59"/>
        <v>249</v>
      </c>
      <c r="M140" s="356">
        <f t="shared" si="59"/>
        <v>273</v>
      </c>
      <c r="N140" s="356">
        <f t="shared" si="59"/>
        <v>316</v>
      </c>
      <c r="O140" s="542">
        <f t="shared" si="53"/>
        <v>3868</v>
      </c>
      <c r="P140" s="574"/>
      <c r="Q140" s="552"/>
    </row>
    <row r="141" spans="1:17" s="539" customFormat="1" ht="14.25">
      <c r="A141" s="351" t="s">
        <v>489</v>
      </c>
      <c r="B141" s="351"/>
      <c r="C141" s="356">
        <f>C135</f>
        <v>21.76</v>
      </c>
      <c r="D141" s="356">
        <f aca="true" t="shared" si="60" ref="D141:N141">D135</f>
        <v>24.96</v>
      </c>
      <c r="E141" s="356">
        <f t="shared" si="60"/>
        <v>25.6</v>
      </c>
      <c r="F141" s="356">
        <f t="shared" si="60"/>
        <v>13.136000000000001</v>
      </c>
      <c r="G141" s="356">
        <f t="shared" si="60"/>
        <v>14.256</v>
      </c>
      <c r="H141" s="356">
        <f t="shared" si="60"/>
        <v>40.092800000000004</v>
      </c>
      <c r="I141" s="356">
        <f t="shared" si="60"/>
        <v>28.3072</v>
      </c>
      <c r="J141" s="356">
        <f t="shared" si="60"/>
        <v>36.976</v>
      </c>
      <c r="K141" s="356">
        <f t="shared" si="60"/>
        <v>20.384</v>
      </c>
      <c r="L141" s="356">
        <f t="shared" si="60"/>
        <v>18.5344</v>
      </c>
      <c r="M141" s="356">
        <f t="shared" si="60"/>
        <v>20.3136</v>
      </c>
      <c r="N141" s="356">
        <f t="shared" si="60"/>
        <v>23.536</v>
      </c>
      <c r="O141" s="542">
        <f t="shared" si="53"/>
        <v>287.856</v>
      </c>
      <c r="P141" s="574"/>
      <c r="Q141" s="552"/>
    </row>
    <row r="142" spans="1:17" s="539" customFormat="1" ht="14.25">
      <c r="A142" s="351" t="s">
        <v>534</v>
      </c>
      <c r="B142" s="351"/>
      <c r="C142" s="544">
        <f aca="true" t="shared" si="61" ref="C142:N142">ROUND(C132/C75/24*C30/1000,3)</f>
        <v>0.015</v>
      </c>
      <c r="D142" s="544">
        <f t="shared" si="61"/>
        <v>0.018</v>
      </c>
      <c r="E142" s="544">
        <f t="shared" si="61"/>
        <v>0.016</v>
      </c>
      <c r="F142" s="544">
        <f t="shared" si="61"/>
        <v>0.009</v>
      </c>
      <c r="G142" s="544">
        <f t="shared" si="61"/>
        <v>0.011</v>
      </c>
      <c r="H142" s="544">
        <f t="shared" si="61"/>
        <v>0.034</v>
      </c>
      <c r="I142" s="544">
        <f t="shared" si="61"/>
        <v>0.021</v>
      </c>
      <c r="J142" s="544">
        <f t="shared" si="61"/>
        <v>0.042</v>
      </c>
      <c r="K142" s="544">
        <f t="shared" si="61"/>
        <v>0.026</v>
      </c>
      <c r="L142" s="544">
        <f t="shared" si="61"/>
        <v>0.031</v>
      </c>
      <c r="M142" s="544">
        <f t="shared" si="61"/>
        <v>0.022</v>
      </c>
      <c r="N142" s="544">
        <f t="shared" si="61"/>
        <v>0.022</v>
      </c>
      <c r="O142" s="545">
        <f>ROUND(AVERAGE(C142:N142),3)</f>
        <v>0.022</v>
      </c>
      <c r="P142" s="574"/>
      <c r="Q142" s="552"/>
    </row>
    <row r="143" spans="1:17" s="539" customFormat="1" ht="7.5" customHeight="1">
      <c r="A143" s="573"/>
      <c r="B143" s="574"/>
      <c r="C143" s="575"/>
      <c r="D143" s="575"/>
      <c r="E143" s="575"/>
      <c r="F143" s="575"/>
      <c r="G143" s="575"/>
      <c r="H143" s="575"/>
      <c r="I143" s="575"/>
      <c r="J143" s="575"/>
      <c r="K143" s="575"/>
      <c r="L143" s="575"/>
      <c r="M143" s="575"/>
      <c r="N143" s="575"/>
      <c r="O143" s="576"/>
      <c r="P143" s="574"/>
      <c r="Q143" s="552"/>
    </row>
    <row r="144" spans="3:14" ht="14.25">
      <c r="C144" s="350">
        <v>10710</v>
      </c>
      <c r="D144" s="350">
        <v>10710</v>
      </c>
      <c r="E144" s="350">
        <v>10710</v>
      </c>
      <c r="F144" s="350">
        <v>10710</v>
      </c>
      <c r="G144" s="350">
        <v>10710</v>
      </c>
      <c r="H144" s="350">
        <v>10710</v>
      </c>
      <c r="I144" s="350">
        <v>10710</v>
      </c>
      <c r="J144" s="350">
        <v>10710</v>
      </c>
      <c r="K144" s="350">
        <v>10710</v>
      </c>
      <c r="L144" s="350">
        <v>10710</v>
      </c>
      <c r="M144" s="350">
        <v>10710</v>
      </c>
      <c r="N144" s="350">
        <v>10710</v>
      </c>
    </row>
    <row r="145" spans="1:14" ht="14.25">
      <c r="A145" s="350" t="s">
        <v>526</v>
      </c>
      <c r="C145" s="355">
        <f>C76+C90+C103+C106+C119+C132</f>
        <v>11453918</v>
      </c>
      <c r="D145" s="355">
        <f aca="true" t="shared" si="62" ref="D145:N145">D76+D90+D103+D106+D119+D132</f>
        <v>11114429</v>
      </c>
      <c r="E145" s="355">
        <f t="shared" si="62"/>
        <v>11860021</v>
      </c>
      <c r="F145" s="355">
        <f t="shared" si="62"/>
        <v>8503608</v>
      </c>
      <c r="G145" s="355">
        <f t="shared" si="62"/>
        <v>6120644</v>
      </c>
      <c r="H145" s="355">
        <f t="shared" si="62"/>
        <v>5428209</v>
      </c>
      <c r="I145" s="355">
        <f t="shared" si="62"/>
        <v>4946051</v>
      </c>
      <c r="J145" s="355">
        <f t="shared" si="62"/>
        <v>5198948</v>
      </c>
      <c r="K145" s="355">
        <f t="shared" si="62"/>
        <v>5489206</v>
      </c>
      <c r="L145" s="355">
        <f t="shared" si="62"/>
        <v>8889493</v>
      </c>
      <c r="M145" s="355">
        <f t="shared" si="62"/>
        <v>10107811</v>
      </c>
      <c r="N145" s="355">
        <f t="shared" si="62"/>
        <v>12299349</v>
      </c>
    </row>
    <row r="146" spans="1:15" ht="14.25">
      <c r="A146" s="350" t="s">
        <v>545</v>
      </c>
      <c r="C146" s="355">
        <f>C77+C80+C91+C93+C104+C107+C120+C122+C133+C135</f>
        <v>65105.76</v>
      </c>
      <c r="D146" s="355">
        <f aca="true" t="shared" si="63" ref="D146:N146">D77+D80+D91+D93+D104+D107+D120+D122+D133+D135</f>
        <v>58665.96</v>
      </c>
      <c r="E146" s="355">
        <f t="shared" si="63"/>
        <v>65621.6</v>
      </c>
      <c r="F146" s="355">
        <f t="shared" si="63"/>
        <v>42701.136</v>
      </c>
      <c r="G146" s="355">
        <f t="shared" si="63"/>
        <v>39697.256</v>
      </c>
      <c r="H146" s="355">
        <f t="shared" si="63"/>
        <v>25562.0928</v>
      </c>
      <c r="I146" s="355">
        <f t="shared" si="63"/>
        <v>24329.3072</v>
      </c>
      <c r="J146" s="355">
        <f t="shared" si="63"/>
        <v>24368.976</v>
      </c>
      <c r="K146" s="355">
        <f t="shared" si="63"/>
        <v>26470.384</v>
      </c>
      <c r="L146" s="355">
        <f t="shared" si="63"/>
        <v>42754.5344</v>
      </c>
      <c r="M146" s="355">
        <f t="shared" si="63"/>
        <v>50134.3136</v>
      </c>
      <c r="N146" s="355">
        <f t="shared" si="63"/>
        <v>61942.536</v>
      </c>
      <c r="O146" s="571">
        <f>SUM(C146:N146)/SUM(C145:N145)*100</f>
        <v>0.5200129014716026</v>
      </c>
    </row>
    <row r="147" spans="3:14" ht="14.25">
      <c r="C147" s="355">
        <f>C81+C94+C108+C123+C136</f>
        <v>11388812.24</v>
      </c>
      <c r="D147" s="355">
        <f aca="true" t="shared" si="64" ref="D147:N147">D81+D94+D108+D123+D136</f>
        <v>11055763.04</v>
      </c>
      <c r="E147" s="355">
        <f t="shared" si="64"/>
        <v>11794399.4</v>
      </c>
      <c r="F147" s="355">
        <f t="shared" si="64"/>
        <v>8460906.864</v>
      </c>
      <c r="G147" s="355">
        <f t="shared" si="64"/>
        <v>6080946.744</v>
      </c>
      <c r="H147" s="355">
        <f t="shared" si="64"/>
        <v>5402646.9072</v>
      </c>
      <c r="I147" s="355">
        <f t="shared" si="64"/>
        <v>4921721.6928</v>
      </c>
      <c r="J147" s="355">
        <f t="shared" si="64"/>
        <v>5174579.024</v>
      </c>
      <c r="K147" s="355">
        <f t="shared" si="64"/>
        <v>5462735.616</v>
      </c>
      <c r="L147" s="355">
        <f t="shared" si="64"/>
        <v>8846738.4656</v>
      </c>
      <c r="M147" s="355">
        <f t="shared" si="64"/>
        <v>10057676.6864</v>
      </c>
      <c r="N147" s="355">
        <f t="shared" si="64"/>
        <v>12237406.464</v>
      </c>
    </row>
    <row r="148" spans="3:15" ht="14.25">
      <c r="C148" s="355">
        <f>C146-C144</f>
        <v>54395.76</v>
      </c>
      <c r="D148" s="355">
        <f aca="true" t="shared" si="65" ref="D148:N148">D146-D144</f>
        <v>47955.96</v>
      </c>
      <c r="E148" s="355">
        <f t="shared" si="65"/>
        <v>54911.600000000006</v>
      </c>
      <c r="F148" s="355">
        <f t="shared" si="65"/>
        <v>31991.136</v>
      </c>
      <c r="G148" s="355">
        <f t="shared" si="65"/>
        <v>28987.256</v>
      </c>
      <c r="H148" s="355">
        <f t="shared" si="65"/>
        <v>14852.092799999999</v>
      </c>
      <c r="I148" s="355">
        <f t="shared" si="65"/>
        <v>13619.3072</v>
      </c>
      <c r="J148" s="355">
        <f t="shared" si="65"/>
        <v>13658.975999999999</v>
      </c>
      <c r="K148" s="355">
        <f t="shared" si="65"/>
        <v>15760.383999999998</v>
      </c>
      <c r="L148" s="355">
        <f t="shared" si="65"/>
        <v>32044.534399999997</v>
      </c>
      <c r="M148" s="355">
        <f t="shared" si="65"/>
        <v>39424.3136</v>
      </c>
      <c r="N148" s="355">
        <f t="shared" si="65"/>
        <v>51232.536</v>
      </c>
      <c r="O148" s="568">
        <f>SUM(C148:N148)/SUM(C145:N145)*100</f>
        <v>0.39328194589643306</v>
      </c>
    </row>
    <row r="150" spans="3:14" ht="14.25">
      <c r="C150" s="350">
        <f>ROUND(C146/1000000,4)</f>
        <v>0.0651</v>
      </c>
      <c r="D150" s="350">
        <f aca="true" t="shared" si="66" ref="D150:N150">ROUND(D146/1000000,4)</f>
        <v>0.0587</v>
      </c>
      <c r="E150" s="350">
        <f t="shared" si="66"/>
        <v>0.0656</v>
      </c>
      <c r="F150" s="350">
        <f t="shared" si="66"/>
        <v>0.0427</v>
      </c>
      <c r="G150" s="350">
        <f t="shared" si="66"/>
        <v>0.0397</v>
      </c>
      <c r="H150" s="350">
        <f t="shared" si="66"/>
        <v>0.0256</v>
      </c>
      <c r="I150" s="350">
        <f t="shared" si="66"/>
        <v>0.0243</v>
      </c>
      <c r="J150" s="350">
        <f t="shared" si="66"/>
        <v>0.0244</v>
      </c>
      <c r="K150" s="350">
        <f t="shared" si="66"/>
        <v>0.0265</v>
      </c>
      <c r="L150" s="350">
        <f t="shared" si="66"/>
        <v>0.0428</v>
      </c>
      <c r="M150" s="350">
        <f t="shared" si="66"/>
        <v>0.0501</v>
      </c>
      <c r="N150" s="350">
        <f t="shared" si="66"/>
        <v>0.0619</v>
      </c>
    </row>
    <row r="151" spans="3:14" ht="14.25">
      <c r="C151" s="572">
        <f>ROUND((C81+C94+C108+C123+C136)/1000000,4)</f>
        <v>11.3888</v>
      </c>
      <c r="D151" s="572">
        <f aca="true" t="shared" si="67" ref="D151:N151">(D81+D94+D108+D123+D136)/1000000</f>
        <v>11.055763039999999</v>
      </c>
      <c r="E151" s="572">
        <f t="shared" si="67"/>
        <v>11.7943994</v>
      </c>
      <c r="F151" s="572">
        <f t="shared" si="67"/>
        <v>8.460906864</v>
      </c>
      <c r="G151" s="572">
        <f t="shared" si="67"/>
        <v>6.080946744</v>
      </c>
      <c r="H151" s="572">
        <f t="shared" si="67"/>
        <v>5.4026469072</v>
      </c>
      <c r="I151" s="572">
        <f t="shared" si="67"/>
        <v>4.9217216928</v>
      </c>
      <c r="J151" s="572">
        <f t="shared" si="67"/>
        <v>5.174579024</v>
      </c>
      <c r="K151" s="572">
        <f t="shared" si="67"/>
        <v>5.462735616000001</v>
      </c>
      <c r="L151" s="572">
        <f t="shared" si="67"/>
        <v>8.846738465600001</v>
      </c>
      <c r="M151" s="572">
        <f t="shared" si="67"/>
        <v>10.0576766864</v>
      </c>
      <c r="N151" s="572">
        <f t="shared" si="67"/>
        <v>12.237406464</v>
      </c>
    </row>
    <row r="152" spans="3:14" ht="14.25"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  <c r="M152" s="355"/>
      <c r="N152" s="355"/>
    </row>
    <row r="153" spans="3:15" ht="14.25">
      <c r="C153" s="572">
        <f>ROUND((C76+C90+C103+C106+C119+C132)/1000000,4)</f>
        <v>11.4539</v>
      </c>
      <c r="D153" s="572">
        <f aca="true" t="shared" si="68" ref="D153:N153">ROUND((D76+D90+D103+D106+D119+D132)/1000000,4)</f>
        <v>11.1144</v>
      </c>
      <c r="E153" s="572">
        <f t="shared" si="68"/>
        <v>11.86</v>
      </c>
      <c r="F153" s="572">
        <f t="shared" si="68"/>
        <v>8.5036</v>
      </c>
      <c r="G153" s="572">
        <f t="shared" si="68"/>
        <v>6.1206</v>
      </c>
      <c r="H153" s="572">
        <f t="shared" si="68"/>
        <v>5.4282</v>
      </c>
      <c r="I153" s="572">
        <f t="shared" si="68"/>
        <v>4.9461</v>
      </c>
      <c r="J153" s="572">
        <f t="shared" si="68"/>
        <v>5.1989</v>
      </c>
      <c r="K153" s="572">
        <f t="shared" si="68"/>
        <v>5.4892</v>
      </c>
      <c r="L153" s="572">
        <f t="shared" si="68"/>
        <v>8.8895</v>
      </c>
      <c r="M153" s="572">
        <f t="shared" si="68"/>
        <v>10.1078</v>
      </c>
      <c r="N153" s="572">
        <f t="shared" si="68"/>
        <v>12.2993</v>
      </c>
      <c r="O153" s="572">
        <f>SUM(C153:N153)</f>
        <v>101.41149999999999</v>
      </c>
    </row>
    <row r="155" spans="3:14" ht="14.25">
      <c r="C155" s="350">
        <f>ROUND(C145/$C$75/24/1000,4)</f>
        <v>15.3951</v>
      </c>
      <c r="D155" s="350">
        <f aca="true" t="shared" si="69" ref="D155:N157">ROUND(D145/$C$75/24/1000,4)</f>
        <v>14.9387</v>
      </c>
      <c r="E155" s="350">
        <f t="shared" si="69"/>
        <v>15.9409</v>
      </c>
      <c r="F155" s="350">
        <f t="shared" si="69"/>
        <v>11.4296</v>
      </c>
      <c r="G155" s="350">
        <f t="shared" si="69"/>
        <v>8.2267</v>
      </c>
      <c r="H155" s="350">
        <f t="shared" si="69"/>
        <v>7.296</v>
      </c>
      <c r="I155" s="350">
        <f t="shared" si="69"/>
        <v>6.6479</v>
      </c>
      <c r="J155" s="350">
        <f t="shared" si="69"/>
        <v>6.9878</v>
      </c>
      <c r="K155" s="350">
        <f t="shared" si="69"/>
        <v>7.378</v>
      </c>
      <c r="L155" s="350">
        <f t="shared" si="69"/>
        <v>11.9482</v>
      </c>
      <c r="M155" s="350">
        <f t="shared" si="69"/>
        <v>13.5858</v>
      </c>
      <c r="N155" s="350">
        <f t="shared" si="69"/>
        <v>16.5314</v>
      </c>
    </row>
    <row r="156" spans="3:14" ht="14.25">
      <c r="C156" s="350">
        <f>ROUND(C146/$C$75/24/1000,4)</f>
        <v>0.0875</v>
      </c>
      <c r="D156" s="350">
        <f t="shared" si="69"/>
        <v>0.0789</v>
      </c>
      <c r="E156" s="350">
        <f t="shared" si="69"/>
        <v>0.0882</v>
      </c>
      <c r="F156" s="350">
        <f t="shared" si="69"/>
        <v>0.0574</v>
      </c>
      <c r="G156" s="350">
        <f t="shared" si="69"/>
        <v>0.0534</v>
      </c>
      <c r="H156" s="350">
        <f t="shared" si="69"/>
        <v>0.0344</v>
      </c>
      <c r="I156" s="350">
        <f t="shared" si="69"/>
        <v>0.0327</v>
      </c>
      <c r="J156" s="350">
        <f t="shared" si="69"/>
        <v>0.0328</v>
      </c>
      <c r="K156" s="350">
        <f t="shared" si="69"/>
        <v>0.0356</v>
      </c>
      <c r="L156" s="350">
        <f t="shared" si="69"/>
        <v>0.0575</v>
      </c>
      <c r="M156" s="350">
        <f t="shared" si="69"/>
        <v>0.0674</v>
      </c>
      <c r="N156" s="350">
        <f t="shared" si="69"/>
        <v>0.0833</v>
      </c>
    </row>
    <row r="157" spans="3:14" ht="14.25">
      <c r="C157" s="350">
        <f>ROUND(C147/$C$75/24/1000,4)</f>
        <v>15.3075</v>
      </c>
      <c r="D157" s="350">
        <f t="shared" si="69"/>
        <v>14.8599</v>
      </c>
      <c r="E157" s="350">
        <f t="shared" si="69"/>
        <v>15.8527</v>
      </c>
      <c r="F157" s="350">
        <f t="shared" si="69"/>
        <v>11.3722</v>
      </c>
      <c r="G157" s="350">
        <f t="shared" si="69"/>
        <v>8.1733</v>
      </c>
      <c r="H157" s="350">
        <f t="shared" si="69"/>
        <v>7.2616</v>
      </c>
      <c r="I157" s="350">
        <f t="shared" si="69"/>
        <v>6.6152</v>
      </c>
      <c r="J157" s="350">
        <f t="shared" si="69"/>
        <v>6.9551</v>
      </c>
      <c r="K157" s="350">
        <f t="shared" si="69"/>
        <v>7.3424</v>
      </c>
      <c r="L157" s="350">
        <f t="shared" si="69"/>
        <v>11.8908</v>
      </c>
      <c r="M157" s="350">
        <f t="shared" si="69"/>
        <v>13.5184</v>
      </c>
      <c r="N157" s="350">
        <f t="shared" si="69"/>
        <v>16.4481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User52</cp:lastModifiedBy>
  <cp:lastPrinted>2017-12-15T06:42:48Z</cp:lastPrinted>
  <dcterms:created xsi:type="dcterms:W3CDTF">2012-05-06T09:35:32Z</dcterms:created>
  <dcterms:modified xsi:type="dcterms:W3CDTF">2019-05-25T17:42:54Z</dcterms:modified>
  <cp:category/>
  <cp:version/>
  <cp:contentType/>
  <cp:contentStatus/>
</cp:coreProperties>
</file>